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3.xml" ContentType="application/vnd.openxmlformats-officedocument.drawing+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4.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drawings/drawing5.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drawings/drawing6.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7.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8.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omments1.xml" ContentType="application/vnd.openxmlformats-officedocument.spreadsheetml.comments+xml"/>
  <Override PartName="/xl/charts/chart9.xml" ContentType="application/vnd.openxmlformats-officedocument.drawingml.chart+xml"/>
  <Override PartName="/xl/drawings/drawing9.xml" ContentType="application/vnd.openxmlformats-officedocument.drawing+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codeName="{37A63EE7-654F-3FA9-A528-636911D70600}"/>
  <workbookPr codeName="DieseArbeitsmappe" defaultThemeVersion="124226"/>
  <mc:AlternateContent xmlns:mc="http://schemas.openxmlformats.org/markup-compatibility/2006">
    <mc:Choice Requires="x15">
      <x15ac:absPath xmlns:x15ac="http://schemas.microsoft.com/office/spreadsheetml/2010/11/ac" url="C:\Arbeitsordner\IBH\IBH_Projekt1544_MoBi\MoBi_goesGEG\"/>
    </mc:Choice>
  </mc:AlternateContent>
  <xr:revisionPtr revIDLastSave="0" documentId="13_ncr:1_{D94B2A9B-28FA-4422-B02B-67863DDCCB24}" xr6:coauthVersionLast="47" xr6:coauthVersionMax="47" xr10:uidLastSave="{00000000-0000-0000-0000-000000000000}"/>
  <workbookProtection workbookAlgorithmName="SHA-512" workbookHashValue="pC0pc5+vYnhWobFpRiqXwJNcnCbtCYy7R+h1QfNfi6/O4ieN0jRK+EbgGALvzCe5h4B0PyvyEAGJVztKbLIknw==" workbookSaltValue="gUKv8WtaX1/iAj4096bqCA==" workbookSpinCount="100000" lockStructure="1"/>
  <bookViews>
    <workbookView xWindow="28815" yWindow="165" windowWidth="27225" windowHeight="16200" tabRatio="809" activeTab="1" xr2:uid="{00000000-000D-0000-FFFF-FFFF00000000}"/>
  </bookViews>
  <sheets>
    <sheet name="Deckblatt" sheetId="102" r:id="rId1"/>
    <sheet name="Gebaeude" sheetId="1" r:id="rId2"/>
    <sheet name="Referenz" sheetId="110" r:id="rId3"/>
    <sheet name="Bauteile" sheetId="4" r:id="rId4"/>
    <sheet name="Geometrie" sheetId="10" r:id="rId5"/>
    <sheet name="Technik" sheetId="2" r:id="rId6"/>
    <sheet name="Graphisch" sheetId="3" r:id="rId7"/>
    <sheet name="Tabellen" sheetId="9" r:id="rId8"/>
    <sheet name="Energieausweis" sheetId="6" r:id="rId9"/>
  </sheets>
  <functionGroups builtInGroupCount="19"/>
  <definedNames>
    <definedName name="aAlle">Energieausweis!$B$16:$B$25,Energieausweis!$B$28:$B$31,Energieausweis!$B$33:$B$200,Energieausweis!$B$56,Energieausweis!$B$60,Energieausweis!$B$119,Energieausweis!$B$152:$B$154,Energieausweis!$B$125:$B$130,Energieausweis!$B$133:$B$138,Energieausweis!$B$145:$B$147,Energieausweis!$B$149:$B$151,Energieausweis!$B$194,Energieausweis!$B$197</definedName>
    <definedName name="aAltersklasseGebaeude" localSheetId="8">Energieausweis!$B$35</definedName>
    <definedName name="aAltersklasseWaermeerzeuger" localSheetId="8">Energieausweis!$B$37</definedName>
    <definedName name="aAnforderungnachGEG16unterschritten">Energieausweis!#REF!</definedName>
    <definedName name="aAngabenerhaeltlich">Energieausweis!$B$26</definedName>
    <definedName name="aangerechneterlokalererneuerbarerStrom">Energieausweis!$B$158</definedName>
    <definedName name="aAnteilderPflichterfuellung1">Energieausweis!$B$190</definedName>
    <definedName name="aAnteilderPflichterfuellung2">Energieausweis!$B$193</definedName>
    <definedName name="aAnzahlbaugleiche1">Energieausweis!$B$128</definedName>
    <definedName name="aAnzahlbaugleiche2">Energieausweis!$B$136</definedName>
    <definedName name="aAnzahlbaugleicheWW1">Energieausweis!$B$147</definedName>
    <definedName name="aAnzahlbaugleicheWW2" localSheetId="8">Energieausweis!$B$151</definedName>
    <definedName name="aAnzahlWohneinheiten">Energieausweis!$B$57</definedName>
    <definedName name="aArtderNutzungerneuerbarenEnergie1">Energieausweis!$B$188</definedName>
    <definedName name="aArtderNutzungerneuerbarenEnergie2">Energieausweis!$B$191</definedName>
    <definedName name="aAusstellerBezeichnung" localSheetId="8">Energieausweis!$B$21</definedName>
    <definedName name="aAusstellername" localSheetId="8">Energieausweis!$B$20</definedName>
    <definedName name="aAusstellerOrt" localSheetId="8">Energieausweis!$B$24</definedName>
    <definedName name="aAusstellerPLZ" localSheetId="8">Energieausweis!$B$23</definedName>
    <definedName name="aAusstellerStrasseNr" localSheetId="8">Energieausweis!$B$22</definedName>
    <definedName name="aAusstellervorname" localSheetId="8">Energieausweis!$B$19</definedName>
    <definedName name="aAusstellungsanlass" localSheetId="8">Energieausweis!$B$52</definedName>
    <definedName name="aAusstellungsdatum" localSheetId="8">Energieausweis!$B$30</definedName>
    <definedName name="aBaujahrGebaeude" localSheetId="8">Energieausweis!$B$34</definedName>
    <definedName name="aBaujahrWaermeerzeuger" localSheetId="8">Energieausweis!$B$36</definedName>
    <definedName name="aBruttovolumen">Energieausweis!$B$61</definedName>
    <definedName name="aBundesland" localSheetId="8">Energieausweis!$B$31</definedName>
    <definedName name="aDateien">Energieausweis!$C$5:$C$6,Energieausweis!$C$8:$C$13</definedName>
    <definedName name="aDatenerhebungAussteller" localSheetId="8">Energieausweis!$B$53</definedName>
    <definedName name="aDatenerhebungEigentuemer" localSheetId="8">Energieausweis!$B$54</definedName>
    <definedName name="aDeckungsanteil1">Energieausweis!$B$189</definedName>
    <definedName name="aDeckungsanteil2">Energieausweis!$B$192</definedName>
    <definedName name="adurchschnittlicheGeschosshoehe">Energieausweis!$B$62</definedName>
    <definedName name="aEmissionsfaktor1">Energieausweis!$B$131</definedName>
    <definedName name="aEmissionsfaktor2">Energieausweis!$B$139</definedName>
    <definedName name="aEmpfehlungenmoeglich" localSheetId="8">Energieausweis!$B$199</definedName>
    <definedName name="aEndenergiebedarfBeleuchtungspezifisch1">Energieausweis!$B$171</definedName>
    <definedName name="aEndenergiebedarfBeleuchtungspezifisch2">Energieausweis!$B$180</definedName>
    <definedName name="aEndenergiebedarfEnergietraegerGesamtgebaeudespezifisch1">Energieausweis!$B$173</definedName>
    <definedName name="aEndenergiebedarfEnergietraegerGesamtgebaeudespezifisch2">Energieausweis!$B$182</definedName>
    <definedName name="aEndenergiebedarfGesamt">Energieausweis!$B$185</definedName>
    <definedName name="aEndenergiebedarfHeizungspezifisch1">Energieausweis!$B$168</definedName>
    <definedName name="aEndenergiebedarfHeizungspezifisch2">Energieausweis!$B$177</definedName>
    <definedName name="aEndenergiebedarfHilfsenergieAN">Energieausweis!$B$184</definedName>
    <definedName name="aEndenergiebedarfHoechstwertBestand">Energieausweis!#REF!</definedName>
    <definedName name="aEndenergiebedarfHoechstwertNeubau">Energieausweis!$B$163</definedName>
    <definedName name="aEndenergiebedarfKuehlungBefeuchtungspezifisch1">Energieausweis!$B$169</definedName>
    <definedName name="aEndenergiebedarfKuehlungBefeuchtungspezifisch2">Energieausweis!$B$178</definedName>
    <definedName name="aEndenergiebedarfLueftungspezifisch1">Energieausweis!$B$172</definedName>
    <definedName name="aEndenergiebedarfLueftungspezifisch2">Energieausweis!$B$181</definedName>
    <definedName name="aEndenergiebedarfTrinkwarmwasserspezifisch1">Energieausweis!$B$170</definedName>
    <definedName name="aEndenergiebedarfTrinkwarmwasserspezifisch2">Energieausweis!$B$179</definedName>
    <definedName name="aEndenergiebedarfWaermeAN">Energieausweis!$B$183</definedName>
    <definedName name="aEnergieeffizienzklasse">Energieausweis!$B$187</definedName>
    <definedName name="aEnergietraeger1">Energieausweis!$B$129</definedName>
    <definedName name="aEnergietraeger2" localSheetId="8">Energieausweis!$B$137</definedName>
    <definedName name="aEnergietraegerbezeichnung1">Energieausweis!$B$166</definedName>
    <definedName name="aEnergietraegerbezeichnung2">Energieausweis!$B$175</definedName>
    <definedName name="aEnEVVersion" localSheetId="2">Energieausweis!#REF!</definedName>
    <definedName name="aEnEVVersion">Energieausweis!#REF!</definedName>
    <definedName name="aErneuerbareArt" localSheetId="8">Energieausweis!$B$40</definedName>
    <definedName name="aErneuerbareVerwendung" localSheetId="8">Energieausweis!$B$41</definedName>
    <definedName name="aExeName">Energieausweis!$Q$14</definedName>
    <definedName name="aExtrablattModernisierung" localSheetId="8">Energieausweis!#REF!</definedName>
    <definedName name="aGebaeudeadresseOrt" localSheetId="8">Energieausweis!$B$18</definedName>
    <definedName name="aGebaeudeadressePostleitzahl" localSheetId="8">Energieausweis!$B$17</definedName>
    <definedName name="aGebaeudeadresseStrasseNr" localSheetId="8">Energieausweis!$B$16</definedName>
    <definedName name="aGebaeudenutzflaeche">Energieausweis!$B$58</definedName>
    <definedName name="aGebaeudeteil" localSheetId="8">Energieausweis!$B$33</definedName>
    <definedName name="aGebaeudetyp" localSheetId="8">Energieausweis!$B$56</definedName>
    <definedName name="aHeizkreisauslegungstemperatur" localSheetId="8">Energieausweis!$B$141</definedName>
    <definedName name="aHeizungsanlageinnerhalbHuelle" localSheetId="8">Energieausweis!$B$142</definedName>
    <definedName name="aHilf">Energieausweis!$P$15</definedName>
    <definedName name="aHuell">Energieausweis!$A$65:$D$114</definedName>
    <definedName name="aHuell2017dazu">Energieausweis!$R$65:$U$114</definedName>
    <definedName name="aInnovationsklausel">Energieausweis!$B$159</definedName>
    <definedName name="ainterneWaermegewinne">Energieausweis!$B$122</definedName>
    <definedName name="aKeineinspektionspflichtigeAnlage">Energieausweis!$B$50</definedName>
    <definedName name="aKeineModernisierungErweiterungVorhaben">Energieausweis!$B$200</definedName>
    <definedName name="aKuehlungsartgelieferteKaelte">Energieausweis!$B$49</definedName>
    <definedName name="aKuehlungsartpassiveKuehlung" localSheetId="8">Energieausweis!$B$46</definedName>
    <definedName name="aKuehlungsartStrom">Energieausweis!$B$47</definedName>
    <definedName name="aKuehlungsartWaerme">Energieausweis!$B$48</definedName>
    <definedName name="aLueftungsartAnlagemWRG" localSheetId="8">Energieausweis!$B$45</definedName>
    <definedName name="aLueftungsartAnlageoWRG" localSheetId="8">Energieausweis!$B$44</definedName>
    <definedName name="aLueftungsartFensterlueftung" localSheetId="8">Energieausweis!$B$42</definedName>
    <definedName name="aLueftungsartSchachtlueftung" localSheetId="8">Energieausweis!$B$43</definedName>
    <definedName name="aLueftungswaermeverlust">Energieausweis!$B$120</definedName>
    <definedName name="aLuftdichtheit" localSheetId="8">Energieausweis!$B$119</definedName>
    <definedName name="aModernisierungErweiterunganzeigepflichtigesVorhaben">Energieausweis!#REF!</definedName>
    <definedName name="aModernisierungErweiterunggenehmigungspflichtigesVorhaben">Energieausweis!#REF!</definedName>
    <definedName name="aNennleistung1">Energieausweis!$B$126</definedName>
    <definedName name="aNennleistung2" localSheetId="8">Energieausweis!$B$134</definedName>
    <definedName name="anichtverschaerftnachGEG34">Energieausweis!$B$195</definedName>
    <definedName name="aPostleitzahl">Energieausweis!$B$32</definedName>
    <definedName name="aPrimaerenergiebedarf">Energieausweis!$B$186</definedName>
    <definedName name="aPrimaerenergiebedarfHoechstwertBestand">Energieausweis!$B$161</definedName>
    <definedName name="aPrimaerenergiebedarfHoechstwertNeubau">Energieausweis!$B$162</definedName>
    <definedName name="aPrimaerenergiefaktor1">Energieausweis!$B$130</definedName>
    <definedName name="aPrimaerenergiefaktor2" localSheetId="8">Energieausweis!$B$138</definedName>
    <definedName name="aPrimaerenergiefaktorListe1">Energieausweis!$B$167</definedName>
    <definedName name="aPrimaerenergiefaktorListe2">Energieausweis!$B$176</definedName>
    <definedName name="aPufferspeicherNenninhalt" localSheetId="8">Energieausweis!$B$140</definedName>
    <definedName name="aQuartiersregelung">Energieausweis!$B$160</definedName>
    <definedName name="aRechtsstand">Energieausweis!$B$28</definedName>
    <definedName name="aRechtsstandGrund">Energieausweis!$B$29</definedName>
    <definedName name="aReistriernummerAnAus">Energieausweis!$N$10</definedName>
    <definedName name="aSoftwareherstellerProgrammVersion">Energieausweis!$B$201</definedName>
    <definedName name="asolareWaermegewinne">Energieausweis!$B$121</definedName>
    <definedName name="aSommerlicherWaermeschutz" localSheetId="8">Energieausweis!$B$197</definedName>
    <definedName name="aspezifischerTransmissionswaermeverlustHoechstwert">Energieausweis!$B$157</definedName>
    <definedName name="aspezifischerTransmissionswaermeverlustIst">Energieausweis!$B$156</definedName>
    <definedName name="aspezifischerTransmissionswaermeverlustverschaerft">Energieausweis!$B$196</definedName>
    <definedName name="aTransmissionswaermeverlust">Energieausweis!$B$118</definedName>
    <definedName name="aTreibhausgasemissionen">Energieausweis!$B$51</definedName>
    <definedName name="aTreibhausgasemissionenHoechstwertBestand">Energieausweis!#REF!</definedName>
    <definedName name="aTreibhausgasemissionenHoechstwertNeubau">Energieausweis!$B$164</definedName>
    <definedName name="aTrinkwarmwassererzeugerBaujahr1">Energieausweis!$B$146</definedName>
    <definedName name="aTrinkwarmwassererzeugerBaujahr2" localSheetId="8">Energieausweis!$B$150</definedName>
    <definedName name="aTrinkwarmwassererzeugerBauweise1">Energieausweis!$B$145</definedName>
    <definedName name="aTrinkwarmwassererzeugerBauweise2" localSheetId="8">Energieausweis!$B$149</definedName>
    <definedName name="aTrinkwarmwasserspeicherNenninhalt" localSheetId="8">Energieausweis!$B$152</definedName>
    <definedName name="aTrinkwarmwasserverteilungZirkulation" localSheetId="8">Energieausweis!$B$153</definedName>
    <definedName name="aVereinfachteDatenaufnahme" localSheetId="8">Energieausweis!$B$154</definedName>
    <definedName name="averschaerftnachGEG45eingehalten">Energieausweis!$B$194</definedName>
    <definedName name="aVersionEnEV">Energieausweis!$C$14</definedName>
    <definedName name="aWaermebrueckenzuschlag">Energieausweis!$B$116</definedName>
    <definedName name="aWaermeerzeugerBaujahr1">Energieausweis!$B$127</definedName>
    <definedName name="aWaermeerzeugerBaujahr2">Energieausweis!$B$135</definedName>
    <definedName name="aWaermeerzeugerBauweise1">Energieausweis!$B$125</definedName>
    <definedName name="aWaermeerzeugerBauweise2" localSheetId="8">Energieausweis!$B$133</definedName>
    <definedName name="awesentlicheEnergietraegerHeizung" localSheetId="8">Energieausweis!$B$38</definedName>
    <definedName name="awesentlicheEnergietraegerWarmwasser">Energieausweis!$B$39</definedName>
    <definedName name="aWohngebaeudeAnbaugrad" localSheetId="8">Energieausweis!$B$60</definedName>
    <definedName name="aZusatzinfosbeigefuegt" localSheetId="8">Energieausweis!$B$25</definedName>
    <definedName name="b01_alf" localSheetId="3">Bauteile!$J$36</definedName>
    <definedName name="b01_Art" localSheetId="3">Bauteile!$O$40:$O$51</definedName>
    <definedName name="b01_b" localSheetId="3">Bauteile!$D$40:$D$51</definedName>
    <definedName name="b01_d" localSheetId="3">Bauteile!$B$40:$B$51</definedName>
    <definedName name="b01_Name" localSheetId="3">Bauteile!$B$36</definedName>
    <definedName name="b01_Notiz" localSheetId="3">Bauteile!$F$36</definedName>
    <definedName name="b01_Quelle" localSheetId="3">Bauteile!$N$40:$N$51</definedName>
    <definedName name="b01_si" localSheetId="3">Bauteile!$E$39</definedName>
    <definedName name="b01_Stoff" localSheetId="3">Bauteile!$P$40:$P$51</definedName>
    <definedName name="b01_x" localSheetId="3">Bauteile!$C$40:$C$51</definedName>
    <definedName name="b02_alf" localSheetId="3">Bauteile!$J$58</definedName>
    <definedName name="b02_Art" localSheetId="3">Bauteile!$O$62:$O$73</definedName>
    <definedName name="b02_b" localSheetId="3">Bauteile!$D$62:$D$73</definedName>
    <definedName name="b02_d" localSheetId="3">Bauteile!$B$62:$B$73</definedName>
    <definedName name="b02_Name" localSheetId="3">Bauteile!$B$58</definedName>
    <definedName name="b02_Notiz" localSheetId="3">Bauteile!$F$58</definedName>
    <definedName name="b02_Quelle" localSheetId="3">Bauteile!$N$62:$N$73</definedName>
    <definedName name="b02_si" localSheetId="3">Bauteile!$E$61</definedName>
    <definedName name="b02_Stoff" localSheetId="3">Bauteile!$P$62:$P$73</definedName>
    <definedName name="b02_x" localSheetId="3">Bauteile!$C$62:$C$73</definedName>
    <definedName name="b03_alf" localSheetId="3">Bauteile!$J$80</definedName>
    <definedName name="b03_Art" localSheetId="3">Bauteile!$O$84:$O$95</definedName>
    <definedName name="b03_b" localSheetId="3">Bauteile!$D$84:$D$95</definedName>
    <definedName name="b03_d" localSheetId="3">Bauteile!$B$84:$B$95</definedName>
    <definedName name="b03_Name" localSheetId="3">Bauteile!$B$80</definedName>
    <definedName name="b03_Notiz" localSheetId="3">Bauteile!$F$80</definedName>
    <definedName name="b03_Quelle" localSheetId="3">Bauteile!$N$84:$N$95</definedName>
    <definedName name="b03_si" localSheetId="3">Bauteile!$E$83</definedName>
    <definedName name="b03_Stoff" localSheetId="3">Bauteile!$P$84:$P$95</definedName>
    <definedName name="b03_x" localSheetId="3">Bauteile!$C$84:$C$95</definedName>
    <definedName name="b04_alf" localSheetId="3">Bauteile!$J$102</definedName>
    <definedName name="b04_Art" localSheetId="3">Bauteile!$O$106:$O$117</definedName>
    <definedName name="b04_b" localSheetId="3">Bauteile!$D$106:$D$117</definedName>
    <definedName name="b04_d" localSheetId="3">Bauteile!$B$106:$B$117</definedName>
    <definedName name="b04_Name" localSheetId="3">Bauteile!$B$102</definedName>
    <definedName name="b04_Notiz" localSheetId="3">Bauteile!$F$102</definedName>
    <definedName name="b04_Quelle" localSheetId="3">Bauteile!$N$106:$N$117</definedName>
    <definedName name="b04_si" localSheetId="3">Bauteile!$E$105</definedName>
    <definedName name="b04_Stoff" localSheetId="3">Bauteile!$P$106:$P$117</definedName>
    <definedName name="b04_x" localSheetId="3">Bauteile!$C$106:$C$117</definedName>
    <definedName name="b05_alf" localSheetId="3">Bauteile!$J$124</definedName>
    <definedName name="b05_Art" localSheetId="3">Bauteile!$O$128:$O$139</definedName>
    <definedName name="b05_b" localSheetId="3">Bauteile!$D$128:$D$139</definedName>
    <definedName name="b05_d" localSheetId="3">Bauteile!$B$128:$B$139</definedName>
    <definedName name="b05_Name" localSheetId="3">Bauteile!$B$124</definedName>
    <definedName name="b05_Notiz" localSheetId="3">Bauteile!$F$124</definedName>
    <definedName name="b05_Quelle" localSheetId="3">Bauteile!$N$128:$N$139</definedName>
    <definedName name="b05_si" localSheetId="3">Bauteile!$E$127</definedName>
    <definedName name="b05_Stoff" localSheetId="3">Bauteile!$P$128:$P$139</definedName>
    <definedName name="b05_x" localSheetId="3">Bauteile!$C$128:$C$139</definedName>
    <definedName name="b06_alf" localSheetId="3">Bauteile!$J$146</definedName>
    <definedName name="b06_Art" localSheetId="3">Bauteile!$O$150:$O$161</definedName>
    <definedName name="b06_b" localSheetId="3">Bauteile!$D$150:$D$161</definedName>
    <definedName name="b06_d" localSheetId="3">Bauteile!$B$150:$B$161</definedName>
    <definedName name="b06_Name" localSheetId="3">Bauteile!$B$146</definedName>
    <definedName name="b06_Notiz" localSheetId="3">Bauteile!$F$146</definedName>
    <definedName name="b06_Quelle" localSheetId="3">Bauteile!$N$150:$N$161</definedName>
    <definedName name="b06_si" localSheetId="3">Bauteile!$E$149</definedName>
    <definedName name="b06_Stoff" localSheetId="3">Bauteile!$P$150:$P$161</definedName>
    <definedName name="b06_x" localSheetId="3">Bauteile!$C$150:$C$161</definedName>
    <definedName name="b07_alf" localSheetId="3">Bauteile!$J$168</definedName>
    <definedName name="b07_Art" localSheetId="3">Bauteile!$O$172:$O$183</definedName>
    <definedName name="b07_b" localSheetId="3">Bauteile!$D$172:$D$183</definedName>
    <definedName name="b07_d" localSheetId="3">Bauteile!$B$172:$B$183</definedName>
    <definedName name="b07_Name" localSheetId="3">Bauteile!$B$168</definedName>
    <definedName name="b07_Notiz" localSheetId="3">Bauteile!$F$168</definedName>
    <definedName name="b07_Quelle" localSheetId="3">Bauteile!$N$172:$N$183</definedName>
    <definedName name="b07_si" localSheetId="3">Bauteile!$E$171</definedName>
    <definedName name="b07_Stoff" localSheetId="3">Bauteile!$P$172:$P$183</definedName>
    <definedName name="b07_x" localSheetId="3">Bauteile!$C$172:$C$183</definedName>
    <definedName name="b08_alf" localSheetId="3">Bauteile!$J$190</definedName>
    <definedName name="b08_Art" localSheetId="3">Bauteile!$O$194:$O$205</definedName>
    <definedName name="b08_b" localSheetId="3">Bauteile!$D$194:$D$205</definedName>
    <definedName name="b08_d" localSheetId="3">Bauteile!$B$194:$B$205</definedName>
    <definedName name="b08_Name" localSheetId="3">Bauteile!$B$190</definedName>
    <definedName name="b08_Notiz" localSheetId="3">Bauteile!$F$190</definedName>
    <definedName name="b08_Quelle" localSheetId="3">Bauteile!$N$194:$N$205</definedName>
    <definedName name="b08_si" localSheetId="3">Bauteile!$E$193</definedName>
    <definedName name="b08_Stoff" localSheetId="3">Bauteile!$P$194:$P$205</definedName>
    <definedName name="b08_x" localSheetId="3">Bauteile!$C$194:$C$205</definedName>
    <definedName name="b09_alf" localSheetId="3">Bauteile!$J$212</definedName>
    <definedName name="b09_Art" localSheetId="3">Bauteile!$O$216:$O$227</definedName>
    <definedName name="b09_b" localSheetId="3">Bauteile!$D$216:$D$227</definedName>
    <definedName name="b09_d" localSheetId="3">Bauteile!$B$216:$B$227</definedName>
    <definedName name="b09_Name" localSheetId="3">Bauteile!$B$212</definedName>
    <definedName name="b09_Notiz" localSheetId="3">Bauteile!$F$212</definedName>
    <definedName name="b09_Quelle" localSheetId="3">Bauteile!$N$216:$N$227</definedName>
    <definedName name="b09_si" localSheetId="3">Bauteile!$E$215</definedName>
    <definedName name="b09_Stoff" localSheetId="3">Bauteile!$P$216:$P$227</definedName>
    <definedName name="b09_x" localSheetId="3">Bauteile!$C$216:$C$227</definedName>
    <definedName name="b10_alf" localSheetId="3">Bauteile!$J$234</definedName>
    <definedName name="b10_Art" localSheetId="3">Bauteile!$O$238:$O$249</definedName>
    <definedName name="b10_b" localSheetId="3">Bauteile!$D$238:$D$249</definedName>
    <definedName name="b10_d" localSheetId="3">Bauteile!$B$238:$B$249</definedName>
    <definedName name="b10_Name" localSheetId="3">Bauteile!$B$234</definedName>
    <definedName name="b10_Notiz" localSheetId="3">Bauteile!$F$234</definedName>
    <definedName name="b10_Quelle" localSheetId="3">Bauteile!$N$238:$N$249</definedName>
    <definedName name="b10_si" localSheetId="3">Bauteile!$E$237</definedName>
    <definedName name="b10_Stoff" localSheetId="3">Bauteile!$P$238:$P$249</definedName>
    <definedName name="b10_x" localSheetId="3">Bauteile!$C$238:$C$249</definedName>
    <definedName name="bOp_alf">Bauteile!$J$6:$J$17</definedName>
    <definedName name="bOp_Name">Bauteile!$B$6:$B$17</definedName>
    <definedName name="bOp_Notiz">Bauteile!$F$6:$F$17</definedName>
    <definedName name="bOp_U">Bauteile!$I$6:$I$17</definedName>
    <definedName name="bTra_FF">Bauteile!$H$21:$H$32</definedName>
    <definedName name="bTra_Fs">Bauteile!$G$21:$G$32</definedName>
    <definedName name="bTra_g">Bauteile!$J$21:$J$32</definedName>
    <definedName name="bTra_Name">Bauteile!$B$21:$B$32</definedName>
    <definedName name="bTra_Notiz">Bauteile!$F$21:$F$32</definedName>
    <definedName name="bTra_U">Bauteile!$I$21:$I$32</definedName>
    <definedName name="dBauherr">Deckblatt!$D$33:$D$35</definedName>
    <definedName name="dBearbeiter">Deckblatt!$D$44</definedName>
    <definedName name="dbLambda">Tabellen!$G$41:$G$55</definedName>
    <definedName name="dbName">Tabellen!$A$41:$A$55</definedName>
    <definedName name="dbNotiz">Tabellen!$H$41:$H$55</definedName>
    <definedName name="dbRho">Tabellen!$F$41:$F$55</definedName>
    <definedName name="dDatum">Deckblatt!$D$45</definedName>
    <definedName name="dGemarkung">Deckblatt!$D$31</definedName>
    <definedName name="_xlnm.Print_Area" localSheetId="3">Bauteile!$A:$J</definedName>
    <definedName name="_xlnm.Print_Area" localSheetId="0">Deckblatt!$A$1:$H$47</definedName>
    <definedName name="_xlnm.Print_Area" localSheetId="8">Energieausweis!$A$1:$H$202</definedName>
    <definedName name="_xlnm.Print_Area" localSheetId="1">Gebaeude!$B$1:$I$339</definedName>
    <definedName name="_xlnm.Print_Area" localSheetId="4">Geometrie!$A$1:$H$87</definedName>
    <definedName name="_xlnm.Print_Area" localSheetId="6">Graphisch!$A:$O</definedName>
    <definedName name="_xlnm.Print_Area" localSheetId="2">Referenz!$B$1:$I$307</definedName>
    <definedName name="_xlnm.Print_Area" localSheetId="7">Tabellen!$A$1:$N$2433</definedName>
    <definedName name="_xlnm.Print_Area" localSheetId="5">Technik!$A$1:$K$180</definedName>
    <definedName name="fAW">Geometrie!$G$12:$G$23</definedName>
    <definedName name="fAW_Notiz">Geometrie!$H$12:$H$23</definedName>
    <definedName name="fAW_Ori">Geometrie!$B$12:$B$23</definedName>
    <definedName name="fAW_U">Geometrie!$M$12:$M$23</definedName>
    <definedName name="fAWT">Geometrie!$G$34:$G$35</definedName>
    <definedName name="fAWT_Notiz">Geometrie!$H$34:$H$35</definedName>
    <definedName name="fAWT_U">Geometrie!$M$34:$M$35</definedName>
    <definedName name="fAWT_Zuo">Geometrie!$D$34:$D$35</definedName>
    <definedName name="fAWW">Geometrie!$G$26:$G$31</definedName>
    <definedName name="fAWW_Notiz">Geometrie!$H$26:$H$31</definedName>
    <definedName name="fAWW_U">Geometrie!$M$26:$M$31</definedName>
    <definedName name="fAWW_Zuo">Geometrie!$D$26:$D$31</definedName>
    <definedName name="fD">Geometrie!$G$38:$G$45</definedName>
    <definedName name="fD_Nei">Geometrie!$C$38:$C$45</definedName>
    <definedName name="fD_Notiz">Geometrie!$H$38:$H$45</definedName>
    <definedName name="fD_Ori">Geometrie!$B$38:$B$45</definedName>
    <definedName name="fD_U">Geometrie!$M$38:$M$45</definedName>
    <definedName name="fDAB">Geometrie!$G$64:$G$68</definedName>
    <definedName name="fDAB_U">Geometrie!$M$64:$M$68</definedName>
    <definedName name="fDABNotiz">Geometrie!$H$64:$H$68</definedName>
    <definedName name="fDAbW">Geometrie!$G$59:$G$61</definedName>
    <definedName name="fDAbW_Notiz">Geometrie!$H$59:$H$61</definedName>
    <definedName name="fDAbW_U">Geometrie!$M$59:$M$61</definedName>
    <definedName name="fDOG">Geometrie!$G$54:$G$56</definedName>
    <definedName name="fDOG_Notiz">Geometrie!$H$54:$H$56</definedName>
    <definedName name="fDOG_U">Geometrie!$M$54:$M$56</definedName>
    <definedName name="fDW">Geometrie!$G$48:$G$51</definedName>
    <definedName name="fDW_Notiz">Geometrie!$H$48:$H$51</definedName>
    <definedName name="fDW_U">Geometrie!$M$48:$M$51</definedName>
    <definedName name="fDW_Zuo">Geometrie!$D$48:$D$51</definedName>
    <definedName name="fG">Geometrie!$G$75:$G$79</definedName>
    <definedName name="fG_Art">Geometrie!$B$75:$E$79</definedName>
    <definedName name="fG_Notiz">Geometrie!$H$75:$H$79</definedName>
    <definedName name="fG_U">Geometrie!$M$75:$M$79</definedName>
    <definedName name="fGAG">Geometrie!$G$86:$G$87</definedName>
    <definedName name="fGAG_Notiz">Geometrie!$H$86:$H$87</definedName>
    <definedName name="fGAG_U">Geometrie!$M$86:$M$87</definedName>
    <definedName name="fGaux">Geometrie!$G$72:$G$73</definedName>
    <definedName name="fGaux_Notiz">Geometrie!$H$72:$H$73</definedName>
    <definedName name="fGW">Geometrie!$G$82:$G$83</definedName>
    <definedName name="fGW_Notiz">Geometrie!$H$82:$H$83</definedName>
    <definedName name="fGW_U">Geometrie!$M$82:$M$83</definedName>
    <definedName name="fGW_Zuo">Geometrie!$D$82:$D$83</definedName>
    <definedName name="fV">Geometrie!$G$7</definedName>
    <definedName name="fV_Notiz">Geometrie!$H$7</definedName>
    <definedName name="gAN" localSheetId="2">Referenz!$F$9</definedName>
    <definedName name="gAN">Gebaeude!$F$9</definedName>
    <definedName name="gAnzGeschosse">Gebaeude!$F$11</definedName>
    <definedName name="gAW_A" localSheetId="2">Referenz!$F$18:$F$29</definedName>
    <definedName name="gAW_A">Gebaeude!$F$18:$F$29</definedName>
    <definedName name="gAW_Ori" localSheetId="2">Referenz!$C$18:$C$29</definedName>
    <definedName name="gAW_Ori">Gebaeude!$C$18:$C$29</definedName>
    <definedName name="gAW_U" localSheetId="2">Referenz!$G$18:$G$29</definedName>
    <definedName name="gAW_U">Gebaeude!$G$18:$G$29</definedName>
    <definedName name="gAWT_A" localSheetId="2">Referenz!$F$40:$F$41</definedName>
    <definedName name="gAWT_A">Gebaeude!$F$40:$F$41</definedName>
    <definedName name="gAWT_U" localSheetId="2">Referenz!$G$40:$G$41</definedName>
    <definedName name="gAWT_U">Gebaeude!$G$40:$G$41</definedName>
    <definedName name="gAWT_Zuo" localSheetId="2">Referenz!$D$40:$D$41</definedName>
    <definedName name="gAWT_Zuo">Gebaeude!$D$40:$D$41</definedName>
    <definedName name="gAWW_A" localSheetId="2">Referenz!$F$32:$F$37</definedName>
    <definedName name="gAWW_A">Gebaeude!$F$32:$F$37</definedName>
    <definedName name="gAWW_U" localSheetId="2">Referenz!$G$32:$G$37</definedName>
    <definedName name="gAWW_U">Gebaeude!$G$32:$G$37</definedName>
    <definedName name="gAWW_Zuo" localSheetId="2">Referenz!$D$32:$D$37</definedName>
    <definedName name="gAWW_Zuo">Gebaeude!$D$32:$D$37</definedName>
    <definedName name="gCwirk_Art" localSheetId="2">Referenz!$G$179</definedName>
    <definedName name="gCwirk_Art">Gebaeude!$G$179</definedName>
    <definedName name="gCwirk_eta" localSheetId="2">Referenz!$I$182</definedName>
    <definedName name="gCwirk_eta">Gebaeude!$I$182</definedName>
    <definedName name="gCwirk_NA" localSheetId="2">Referenz!$I$186</definedName>
    <definedName name="gCwirk_NA">Gebaeude!$I$186</definedName>
    <definedName name="gD_A" localSheetId="2">Referenz!$F$45:$F$52</definedName>
    <definedName name="gD_A">Gebaeude!$F$45:$F$52</definedName>
    <definedName name="gD_Nei" localSheetId="2">Referenz!$E$45:$E$52</definedName>
    <definedName name="gD_Nei">Gebaeude!$E$45:$E$52</definedName>
    <definedName name="gD_Ori" localSheetId="2">Referenz!$C$45:$C$52</definedName>
    <definedName name="gD_Ori">Gebaeude!$C$45:$C$52</definedName>
    <definedName name="gD_U" localSheetId="2">Referenz!$G$45:$G$52</definedName>
    <definedName name="gD_U">Gebaeude!$G$45:$G$52</definedName>
    <definedName name="gDAB_A" localSheetId="2">Referenz!$F$71:$F$75</definedName>
    <definedName name="gDAB_A">Gebaeude!$F$71:$F$75</definedName>
    <definedName name="gDAB_U" localSheetId="2">Referenz!$G$71:$G$75</definedName>
    <definedName name="gDAB_U">Gebaeude!$G$71:$G$75</definedName>
    <definedName name="gDAbW_A" localSheetId="2">Referenz!$F$66:$F$68</definedName>
    <definedName name="gDAbW_A">Gebaeude!$F$66:$F$68</definedName>
    <definedName name="gDAbW_U" localSheetId="2">Referenz!$G$66:$G$68</definedName>
    <definedName name="gDAbW_U">Gebaeude!$G$66:$G$68</definedName>
    <definedName name="gDOG_A" localSheetId="2">Referenz!$F$61:$F$63</definedName>
    <definedName name="gDOG_A">Gebaeude!$F$61:$F$63</definedName>
    <definedName name="gDOG_U" localSheetId="2">Referenz!$G$61:$G$63</definedName>
    <definedName name="gDOG_U">Gebaeude!$G$61:$G$63</definedName>
    <definedName name="gDW_A" localSheetId="2">Referenz!$F$55:$F$58</definedName>
    <definedName name="gDW_A">Gebaeude!$F$55:$F$58</definedName>
    <definedName name="gDW_U" localSheetId="2">Referenz!$G$55:$G$58</definedName>
    <definedName name="gDW_U">Gebaeude!$G$55:$G$58</definedName>
    <definedName name="gDW_Zuo" localSheetId="2">Referenz!$D$55:$D$58</definedName>
    <definedName name="gDW_Zuo">Gebaeude!$D$55:$D$58</definedName>
    <definedName name="ge_Art" localSheetId="2">Referenz!$G$206</definedName>
    <definedName name="ge_Art">Gebaeude!$G$209</definedName>
    <definedName name="ge_Dia" localSheetId="2">Referenz!$D$208</definedName>
    <definedName name="ge_Dia">Gebaeude!$D$211</definedName>
    <definedName name="ge_eP" localSheetId="2">Referenz!$I$213</definedName>
    <definedName name="ge_eP">Gebaeude!$I$216</definedName>
    <definedName name="ge_qHEE" localSheetId="2">Referenz!$I$215</definedName>
    <definedName name="ge_qHEE">Gebaeude!$I$218</definedName>
    <definedName name="ge_qWEE" localSheetId="2">Referenz!$I$214</definedName>
    <definedName name="ge_qWEE">Gebaeude!$I$217</definedName>
    <definedName name="gEE_Pflicht">Gebaeude!$H$234</definedName>
    <definedName name="gG_A" localSheetId="2">Referenz!$F$83:$F$87</definedName>
    <definedName name="gG_A">Gebaeude!$F$83:$F$87</definedName>
    <definedName name="gG_Art" localSheetId="2">Referenz!$C$83:$C$87</definedName>
    <definedName name="gG_Art">Gebaeude!$C$83:$C$87</definedName>
    <definedName name="gG_aux" localSheetId="2">Referenz!$E$80:$E$81</definedName>
    <definedName name="gG_aux">Gebaeude!$E$80:$E$81</definedName>
    <definedName name="gG_U" localSheetId="2">Referenz!$G$83:$G$87</definedName>
    <definedName name="gG_U">Gebaeude!$G$83:$G$87</definedName>
    <definedName name="gGAG_A" localSheetId="2">Referenz!$F$94:$F$95</definedName>
    <definedName name="gGAG_A">Gebaeude!$F$94:$F$95</definedName>
    <definedName name="gGAG_U" localSheetId="2">Referenz!$G$94:$G$95</definedName>
    <definedName name="gGAG_U">Gebaeude!$G$94:$G$95</definedName>
    <definedName name="gGW_A" localSheetId="2">Referenz!$F$90:$F$91</definedName>
    <definedName name="gGW_A">Gebaeude!$F$90:$F$91</definedName>
    <definedName name="gGW_U" localSheetId="2">Referenz!$G$90:$G$91</definedName>
    <definedName name="gGW_U">Gebaeude!$G$90:$G$91</definedName>
    <definedName name="gGW_Zuo" localSheetId="2">Referenz!$D$90:$D$91</definedName>
    <definedName name="gGW_Zuo">Gebaeude!$D$90:$D$91</definedName>
    <definedName name="ghG" localSheetId="2">Referenz!$F$8</definedName>
    <definedName name="ghG">Gebaeude!$F$8</definedName>
    <definedName name="gHT_Art" localSheetId="2">Referenz!#REF!</definedName>
    <definedName name="gHT_Art">Gebaeude!#REF!</definedName>
    <definedName name="gHV_Art" localSheetId="2">Referenz!$G$116</definedName>
    <definedName name="gHV_Art">Gebaeude!$G$116</definedName>
    <definedName name="gHV_Geschoss" localSheetId="2">Referenz!$G$113</definedName>
    <definedName name="gHV_Geschoss">Gebaeude!$G$113</definedName>
    <definedName name="gLast_Dicht" localSheetId="2">Referenz!$I$252</definedName>
    <definedName name="gLast_Dicht">Gebaeude!$I$284</definedName>
    <definedName name="gLast_Te" localSheetId="2">Referenz!$I$249</definedName>
    <definedName name="gLast_Te">Gebaeude!$I$281</definedName>
    <definedName name="gLast_Ti" localSheetId="2">Referenz!$I$250</definedName>
    <definedName name="gLast_Ti">Gebaeude!$I$282</definedName>
    <definedName name="gLast_WRG" localSheetId="2">Referenz!$I$251</definedName>
    <definedName name="gLast_WRG">Gebaeude!$I$283</definedName>
    <definedName name="gObjekt" localSheetId="2">Referenz!$E$4</definedName>
    <definedName name="gObjekt">Gebaeude!$E$4</definedName>
    <definedName name="gPV_Anrechnung">Gebaeude!#REF!</definedName>
    <definedName name="gSAW_alf" localSheetId="2">Referenz!$F$149:$F$162</definedName>
    <definedName name="gSAW_alf">Gebaeude!$F$149:$F$162</definedName>
    <definedName name="gSD_alf" localSheetId="2">Referenz!$F$163:$F$170</definedName>
    <definedName name="gSD_alf">Gebaeude!$F$163:$F$170</definedName>
    <definedName name="gSW_FF" localSheetId="2">Referenz!$H$131:$H$142</definedName>
    <definedName name="gSW_FF">Gebaeude!$H$131:$H$142</definedName>
    <definedName name="gSW_Fs" localSheetId="2">Referenz!$G$131:$G$142</definedName>
    <definedName name="gSW_Fs">Gebaeude!$G$131:$G$142</definedName>
    <definedName name="gSW_g" localSheetId="2">Referenz!$F$131:$F$142</definedName>
    <definedName name="gSW_g">Gebaeude!$F$131:$F$142</definedName>
    <definedName name="gVe" localSheetId="2">Referenz!$F$7</definedName>
    <definedName name="gVe">Gebaeude!$F$7</definedName>
    <definedName name="gWB_Art" localSheetId="2">Referenz!$G$100</definedName>
    <definedName name="gWB_Art">Gebaeude!$G$100</definedName>
    <definedName name="gWB_dU" localSheetId="2">Referenz!$I$104</definedName>
    <definedName name="gWB_dU">Gebaeude!$I$104</definedName>
    <definedName name="gWoE" localSheetId="2">Referenz!$F$10</definedName>
    <definedName name="gWoE">Gebaeude!$F$10</definedName>
    <definedName name="HatFormel">GET.CELL(48,INDIRECT("ZS",FALSE))</definedName>
    <definedName name="listNei" localSheetId="2">Referenz!$AA$44:$AA$48</definedName>
    <definedName name="listNei">Gebaeude!$AA$44:$AA$48</definedName>
    <definedName name="listNeiOhne90" localSheetId="2">Referenz!$AA$45:$AA$48</definedName>
    <definedName name="listNeiOhne90">Gebaeude!$AA$45:$AA$48</definedName>
    <definedName name="listOpak">Bauteile!$AK$5:$AK$34</definedName>
    <definedName name="listOri" localSheetId="2">Referenz!$AA$31:$AA$39</definedName>
    <definedName name="listOri">Gebaeude!$AA$31:$AA$39</definedName>
    <definedName name="listOriOhneHor" localSheetId="2">Referenz!$AA$32:$AA$39</definedName>
    <definedName name="listOriOhneHor">Gebaeude!$AA$32:$AA$39</definedName>
    <definedName name="listTechnikMusteranlageLang">Technik!$S$185:$S$196</definedName>
    <definedName name="listTransparent">Bauteile!$AE$21:$AE$32</definedName>
    <definedName name="listUntererAbschluss" localSheetId="2">Referenz!$AA$68:$AA$75</definedName>
    <definedName name="listUntererAbschluss">Gebaeude!$AA$67:$AA$76</definedName>
    <definedName name="listWaermestrom">Tabellen!$W$5:$W$12</definedName>
    <definedName name="stBerechnung" localSheetId="2">Referenz!$AA$13</definedName>
    <definedName name="stBerechnung">Gebaeude!$AA$11</definedName>
    <definedName name="stEnEV" localSheetId="2">Referenz!$AA$8</definedName>
    <definedName name="stEnEV">Gebaeude!$AA$8</definedName>
    <definedName name="stfPStrom" localSheetId="2">Referenz!$AD$8</definedName>
    <definedName name="stfPStrom">Gebaeude!$AD$8</definedName>
    <definedName name="stGraphAnlage">Graphisch!$Z$132</definedName>
    <definedName name="stHilfAusweis">Energieausweis!$N:$Y</definedName>
    <definedName name="stHilfAusweisRows">Energieausweis!$225:$314</definedName>
    <definedName name="stHilfBaut">Bauteile!$AE:$AO</definedName>
    <definedName name="stHilfGeb" localSheetId="2">Referenz!$AA:$AN</definedName>
    <definedName name="stHilfGeb">Gebaeude!$AA:$AN</definedName>
    <definedName name="stHilfGraph">Graphisch!$Y:$AA</definedName>
    <definedName name="stHilfTab">Tabellen!$O:$Y</definedName>
    <definedName name="stHilfTech">Technik!$O:$W</definedName>
    <definedName name="stHilfTechRows">Technik!$183:$411</definedName>
    <definedName name="stSchutz" localSheetId="2">Referenz!$AA$15</definedName>
    <definedName name="stSchutz">Gebaeude!$AA$15</definedName>
    <definedName name="stTechAnlage">Technik!$O$4</definedName>
    <definedName name="t0Head">Technik!$D$6:$D$9</definedName>
    <definedName name="t0txt_h1">Technik!$F$19:$F$21</definedName>
    <definedName name="t0txt_h2">Technik!$F$23</definedName>
    <definedName name="t0txt_h3">Technik!$G$23</definedName>
    <definedName name="t0txt_h4">Technik!$H$23</definedName>
    <definedName name="t0txt_l1">Technik!$I$19:$I$20</definedName>
    <definedName name="t0txt_l2">Technik!$I$23</definedName>
    <definedName name="t0txt_l3">Technik!$J$23</definedName>
    <definedName name="t0txt_l4">Technik!$K$23</definedName>
    <definedName name="t0txt_w1">Technik!$C$20:$E$21</definedName>
    <definedName name="t0txt_w2">Technik!$C$23</definedName>
    <definedName name="t0txt_w3">Technik!$D$23</definedName>
    <definedName name="t0txt_w4">Technik!$E$23</definedName>
    <definedName name="thHead">Technik!$B$133:$B$134</definedName>
    <definedName name="thVal1">Technik!$H$141:$H$143</definedName>
    <definedName name="thVal10">Technik!$H$167</definedName>
    <definedName name="thVal11">Technik!$I$167</definedName>
    <definedName name="thVal12">Technik!$H$172</definedName>
    <definedName name="thVal2">Technik!$G$149:$G$150</definedName>
    <definedName name="thVal3">Technik!$H$149:$H$150</definedName>
    <definedName name="thVal4">Technik!$I$149:$I$150</definedName>
    <definedName name="thVal5">Technik!$G$152</definedName>
    <definedName name="thVal6">Technik!$H$152</definedName>
    <definedName name="thVal7">Technik!$I$152</definedName>
    <definedName name="thVal8">Technik!$H$159:$H$161</definedName>
    <definedName name="thVal9">Technik!$G$167</definedName>
    <definedName name="tlHead">Technik!$B$94:$B$95</definedName>
    <definedName name="tlVal1">Technik!$F$100</definedName>
    <definedName name="tlVal10">Technik!$I$120</definedName>
    <definedName name="tlVal11">Technik!$G$95</definedName>
    <definedName name="tlVal12">Technik!$G$97</definedName>
    <definedName name="tlVal2">Technik!$G$100:$G$101</definedName>
    <definedName name="tlVal3">Technik!$H$100:$H$101</definedName>
    <definedName name="tlVal4">Technik!$G$103</definedName>
    <definedName name="tlVal5">Technik!$I$109:$I$111</definedName>
    <definedName name="tlVal6">Technik!$F$116</definedName>
    <definedName name="tlVal7">Technik!$G$116</definedName>
    <definedName name="tlVal8">Technik!$H$116</definedName>
    <definedName name="tlVal9">Technik!$I$117:$I$118</definedName>
    <definedName name="twHead">Technik!$B$45:$B$46</definedName>
    <definedName name="twVal1">Technik!$G$52:$G$53</definedName>
    <definedName name="twVal10">Technik!$G$77</definedName>
    <definedName name="twVal11">Technik!$H$77</definedName>
    <definedName name="twVal12">Technik!$I$77</definedName>
    <definedName name="twVal13">Technik!$H$82</definedName>
    <definedName name="twVal2">Technik!$I$52:$I$53</definedName>
    <definedName name="twVal3">Technik!$G$59:$G$60</definedName>
    <definedName name="twVal4">Technik!$H$59:$H$60</definedName>
    <definedName name="twVal5">Technik!$I$59:$I$60</definedName>
    <definedName name="twVal6">Technik!$G$62</definedName>
    <definedName name="twVal7">Technik!$H$62</definedName>
    <definedName name="twVal8">Technik!$I$62</definedName>
    <definedName name="twVal9">Technik!$H$70:$H$71</definedName>
    <definedName name="zAnfHT" localSheetId="2">Referenz!$204:$204</definedName>
    <definedName name="zAnfHT">Gebaeude!$204:$207</definedName>
    <definedName name="zAnfHTSt" localSheetId="2">Referenz!$L$201</definedName>
    <definedName name="zAnfHTSt">Gebaeude!$L$201</definedName>
    <definedName name="zAnfHTStNeu" localSheetId="2">Referenz!$B$203</definedName>
    <definedName name="zAnfHTStNeu">Gebaeude!$B$203</definedName>
    <definedName name="zAnfQp" localSheetId="2">Referenz!#REF!</definedName>
    <definedName name="zAnfQp">Gebaeude!$225:$232</definedName>
    <definedName name="zAnfQpSt" localSheetId="2">Referenz!$L$221</definedName>
    <definedName name="zAnfQpSt">Gebaeude!$L$224</definedName>
    <definedName name="zAnfQpStNeu" localSheetId="2">Referenz!#REF!</definedName>
    <definedName name="zAnfQpStNeu">Gebaeude!$B$229</definedName>
    <definedName name="zDefaultBlende" localSheetId="2">Referenz!$229:$238,Referenz!$242:$267,Referenz!$270:$307</definedName>
    <definedName name="zDefaultBlende">Gebaeude!$261:$271,Gebaeude!$274:$299,Gebaeude!$302:$339</definedName>
    <definedName name="zGraphischRef">Graphisch!$N$41:$N$44,Graphisch!$G$41:$G$50,Graphisch!$J$96:$K$108</definedName>
    <definedName name="zGraphischRefMon">Graphisch!$C$12:$O$15</definedName>
    <definedName name="zHT" localSheetId="2">Referenz!$I$203</definedName>
    <definedName name="zHT">Gebaeude!$I$203</definedName>
    <definedName name="zHTzul">Gebaeude!$I$205</definedName>
    <definedName name="zLast" localSheetId="2">Referenz!$I$266</definedName>
    <definedName name="zLast">Gebaeude!$I$298</definedName>
    <definedName name="zLastRef" localSheetId="2">Referenz!$I$267</definedName>
    <definedName name="zLastRef">Gebaeude!$I$299</definedName>
    <definedName name="zPruefungDateien">Energieausweis!$D$4</definedName>
    <definedName name="zQP" localSheetId="2">Referenz!$I$223</definedName>
    <definedName name="zQP">Gebaeude!$I$228</definedName>
    <definedName name="zQPzul">Gebaeude!$I$227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1" i="1" l="1"/>
  <c r="D90" i="1"/>
  <c r="C87" i="1"/>
  <c r="C86" i="1"/>
  <c r="C85" i="1"/>
  <c r="C84" i="1"/>
  <c r="C83" i="1"/>
  <c r="D58" i="1"/>
  <c r="D57" i="1"/>
  <c r="D56" i="1"/>
  <c r="D55" i="1"/>
  <c r="E52" i="1"/>
  <c r="C52" i="1"/>
  <c r="E51" i="1"/>
  <c r="C51" i="1"/>
  <c r="E50" i="1"/>
  <c r="C50" i="1"/>
  <c r="E49" i="1"/>
  <c r="C49" i="1"/>
  <c r="E48" i="1"/>
  <c r="C48" i="1"/>
  <c r="E47" i="1"/>
  <c r="C47" i="1"/>
  <c r="E46" i="1"/>
  <c r="C46" i="1"/>
  <c r="E45" i="1"/>
  <c r="C45" i="1"/>
  <c r="D41" i="1"/>
  <c r="D40" i="1"/>
  <c r="D37" i="1"/>
  <c r="D36" i="1"/>
  <c r="D35" i="1"/>
  <c r="D34" i="1"/>
  <c r="D33" i="1"/>
  <c r="D32" i="1"/>
  <c r="C29" i="1"/>
  <c r="C28" i="1"/>
  <c r="C27" i="1"/>
  <c r="C26" i="1"/>
  <c r="C25" i="1"/>
  <c r="C24" i="1"/>
  <c r="C23" i="1"/>
  <c r="C22" i="1"/>
  <c r="C21" i="1"/>
  <c r="C20" i="1"/>
  <c r="C19" i="1"/>
  <c r="C18" i="1"/>
  <c r="H7" i="6"/>
  <c r="L14" i="1" l="1"/>
  <c r="A5" i="6" l="1"/>
  <c r="H12" i="6"/>
  <c r="H13" i="6"/>
  <c r="D53" i="4"/>
  <c r="V38" i="4" s="1"/>
  <c r="V52" i="4" s="1"/>
  <c r="C53" i="4"/>
  <c r="U38" i="4" s="1"/>
  <c r="U39" i="4" s="1"/>
  <c r="B53" i="4"/>
  <c r="D75" i="4"/>
  <c r="V60" i="4" s="1"/>
  <c r="V74" i="4" s="1"/>
  <c r="C75" i="4"/>
  <c r="U60" i="4" s="1"/>
  <c r="B75" i="4"/>
  <c r="D97" i="4"/>
  <c r="V82" i="4" s="1"/>
  <c r="C97" i="4"/>
  <c r="U82" i="4" s="1"/>
  <c r="U83" i="4" s="1"/>
  <c r="B97" i="4"/>
  <c r="S51" i="4"/>
  <c r="S50" i="4"/>
  <c r="S49" i="4"/>
  <c r="S48" i="4"/>
  <c r="S47" i="4"/>
  <c r="S46" i="4"/>
  <c r="S45" i="4"/>
  <c r="S44" i="4"/>
  <c r="S43" i="4"/>
  <c r="S42" i="4"/>
  <c r="S41" i="4"/>
  <c r="S40" i="4"/>
  <c r="S73" i="4"/>
  <c r="S72" i="4"/>
  <c r="S71" i="4"/>
  <c r="S70" i="4"/>
  <c r="S69" i="4"/>
  <c r="S68" i="4"/>
  <c r="S67" i="4"/>
  <c r="S66" i="4"/>
  <c r="S65" i="4"/>
  <c r="S64" i="4"/>
  <c r="S63" i="4"/>
  <c r="S62" i="4"/>
  <c r="S95" i="4"/>
  <c r="S94" i="4"/>
  <c r="S93" i="4"/>
  <c r="S92" i="4"/>
  <c r="S91" i="4"/>
  <c r="S90" i="4"/>
  <c r="S89" i="4"/>
  <c r="S88" i="4"/>
  <c r="S87" i="4"/>
  <c r="S86" i="4"/>
  <c r="S85" i="4"/>
  <c r="S84" i="4"/>
  <c r="S249" i="4"/>
  <c r="S248" i="4"/>
  <c r="S247" i="4"/>
  <c r="S246" i="4"/>
  <c r="S245" i="4"/>
  <c r="S244" i="4"/>
  <c r="S243" i="4"/>
  <c r="S242" i="4"/>
  <c r="S241" i="4"/>
  <c r="S240" i="4"/>
  <c r="S239" i="4"/>
  <c r="S238" i="4"/>
  <c r="S227" i="4"/>
  <c r="S226" i="4"/>
  <c r="S225" i="4"/>
  <c r="S224" i="4"/>
  <c r="S223" i="4"/>
  <c r="S222" i="4"/>
  <c r="S221" i="4"/>
  <c r="S220" i="4"/>
  <c r="S219" i="4"/>
  <c r="S218" i="4"/>
  <c r="S217" i="4"/>
  <c r="S216" i="4"/>
  <c r="S205" i="4"/>
  <c r="S204" i="4"/>
  <c r="S203" i="4"/>
  <c r="S202" i="4"/>
  <c r="S201" i="4"/>
  <c r="S200" i="4"/>
  <c r="S199" i="4"/>
  <c r="S198" i="4"/>
  <c r="S197" i="4"/>
  <c r="S196" i="4"/>
  <c r="S195" i="4"/>
  <c r="S194" i="4"/>
  <c r="S183" i="4"/>
  <c r="S182" i="4"/>
  <c r="S181" i="4"/>
  <c r="S180" i="4"/>
  <c r="S179" i="4"/>
  <c r="S178" i="4"/>
  <c r="S177" i="4"/>
  <c r="S176" i="4"/>
  <c r="S175" i="4"/>
  <c r="S174" i="4"/>
  <c r="S173" i="4"/>
  <c r="S172" i="4"/>
  <c r="S161" i="4"/>
  <c r="S160" i="4"/>
  <c r="S159" i="4"/>
  <c r="S158" i="4"/>
  <c r="S157" i="4"/>
  <c r="S156" i="4"/>
  <c r="S155" i="4"/>
  <c r="S154" i="4"/>
  <c r="S153" i="4"/>
  <c r="S152" i="4"/>
  <c r="S151" i="4"/>
  <c r="S150" i="4"/>
  <c r="H5" i="6"/>
  <c r="U61" i="4" l="1"/>
  <c r="U74" i="4"/>
  <c r="T60" i="4"/>
  <c r="V83" i="4"/>
  <c r="T82" i="4"/>
  <c r="T38" i="4"/>
  <c r="U52" i="4"/>
  <c r="V39" i="4"/>
  <c r="V61" i="4"/>
  <c r="U96" i="4"/>
  <c r="V96" i="4"/>
  <c r="D141" i="4" l="1"/>
  <c r="C141" i="4"/>
  <c r="D251" i="4"/>
  <c r="V236" i="4" s="1"/>
  <c r="C251" i="4"/>
  <c r="U236" i="4" s="1"/>
  <c r="B251" i="4"/>
  <c r="D229" i="4"/>
  <c r="V214" i="4" s="1"/>
  <c r="C229" i="4"/>
  <c r="U214" i="4" s="1"/>
  <c r="B229" i="4"/>
  <c r="D207" i="4"/>
  <c r="V192" i="4" s="1"/>
  <c r="C207" i="4"/>
  <c r="U192" i="4" s="1"/>
  <c r="B207" i="4"/>
  <c r="D185" i="4"/>
  <c r="V170" i="4" s="1"/>
  <c r="C185" i="4"/>
  <c r="U170" i="4" s="1"/>
  <c r="B185" i="4"/>
  <c r="D163" i="4"/>
  <c r="V148" i="4" s="1"/>
  <c r="C163" i="4"/>
  <c r="U148" i="4" s="1"/>
  <c r="B163" i="4"/>
  <c r="B141" i="4"/>
  <c r="B119" i="4"/>
  <c r="S139" i="4"/>
  <c r="S138" i="4"/>
  <c r="S137" i="4"/>
  <c r="S136" i="4"/>
  <c r="S135" i="4"/>
  <c r="S134" i="4"/>
  <c r="S133" i="4"/>
  <c r="S132" i="4"/>
  <c r="S131" i="4"/>
  <c r="S130" i="4"/>
  <c r="S129" i="4"/>
  <c r="S128" i="4"/>
  <c r="O754" i="9"/>
  <c r="H754" i="9"/>
  <c r="G754" i="9"/>
  <c r="U754" i="9" s="1"/>
  <c r="D754" i="9"/>
  <c r="S754" i="9" s="1"/>
  <c r="U753" i="9"/>
  <c r="S753" i="9"/>
  <c r="R753" i="9"/>
  <c r="O753" i="9"/>
  <c r="G704" i="9"/>
  <c r="O721" i="9"/>
  <c r="O720" i="9"/>
  <c r="F705" i="9"/>
  <c r="F706" i="9" s="1"/>
  <c r="H435" i="9"/>
  <c r="H436" i="9" s="1"/>
  <c r="H437" i="9" s="1"/>
  <c r="H438" i="9" s="1"/>
  <c r="H439" i="9" s="1"/>
  <c r="H440" i="9" s="1"/>
  <c r="H441" i="9" s="1"/>
  <c r="H442" i="9" s="1"/>
  <c r="H443" i="9" s="1"/>
  <c r="H444" i="9" s="1"/>
  <c r="H424" i="9"/>
  <c r="H425" i="9" s="1"/>
  <c r="H426" i="9" s="1"/>
  <c r="H427" i="9" s="1"/>
  <c r="H428" i="9" s="1"/>
  <c r="H429" i="9" s="1"/>
  <c r="H430" i="9" s="1"/>
  <c r="H408" i="9"/>
  <c r="H409" i="9" s="1"/>
  <c r="H410" i="9" s="1"/>
  <c r="H411" i="9" s="1"/>
  <c r="H412" i="9" s="1"/>
  <c r="H404" i="9"/>
  <c r="H405" i="9" s="1"/>
  <c r="H406" i="9" s="1"/>
  <c r="H401" i="9"/>
  <c r="H402" i="9" s="1"/>
  <c r="H390" i="9"/>
  <c r="H391" i="9" s="1"/>
  <c r="H392" i="9" s="1"/>
  <c r="H393" i="9" s="1"/>
  <c r="H394" i="9" s="1"/>
  <c r="H395" i="9" s="1"/>
  <c r="H396" i="9" s="1"/>
  <c r="H397" i="9" s="1"/>
  <c r="H398" i="9" s="1"/>
  <c r="H399" i="9" s="1"/>
  <c r="H381" i="9"/>
  <c r="H382" i="9" s="1"/>
  <c r="H383" i="9" s="1"/>
  <c r="H384" i="9" s="1"/>
  <c r="H385" i="9" s="1"/>
  <c r="H386" i="9" s="1"/>
  <c r="H387" i="9" s="1"/>
  <c r="H388" i="9" s="1"/>
  <c r="H372" i="9"/>
  <c r="H373" i="9" s="1"/>
  <c r="H374" i="9" s="1"/>
  <c r="H375" i="9" s="1"/>
  <c r="H376" i="9" s="1"/>
  <c r="H377" i="9" s="1"/>
  <c r="H378" i="9" s="1"/>
  <c r="H379" i="9" s="1"/>
  <c r="H369" i="9"/>
  <c r="H370" i="9" s="1"/>
  <c r="H358" i="9"/>
  <c r="H359" i="9" s="1"/>
  <c r="H360" i="9" s="1"/>
  <c r="H361" i="9" s="1"/>
  <c r="H362" i="9" s="1"/>
  <c r="H363" i="9" s="1"/>
  <c r="H364" i="9" s="1"/>
  <c r="H365" i="9" s="1"/>
  <c r="H366" i="9" s="1"/>
  <c r="H367" i="9" s="1"/>
  <c r="H349" i="9"/>
  <c r="H350" i="9" s="1"/>
  <c r="H351" i="9" s="1"/>
  <c r="H352" i="9" s="1"/>
  <c r="H353" i="9" s="1"/>
  <c r="H354" i="9" s="1"/>
  <c r="H355" i="9" s="1"/>
  <c r="H356" i="9" s="1"/>
  <c r="H340" i="9"/>
  <c r="H341" i="9" s="1"/>
  <c r="H342" i="9" s="1"/>
  <c r="H343" i="9" s="1"/>
  <c r="H344" i="9" s="1"/>
  <c r="H345" i="9" s="1"/>
  <c r="H346" i="9" s="1"/>
  <c r="H347" i="9" s="1"/>
  <c r="H331" i="9"/>
  <c r="H332" i="9" s="1"/>
  <c r="H333" i="9" s="1"/>
  <c r="H334" i="9" s="1"/>
  <c r="H335" i="9" s="1"/>
  <c r="H336" i="9" s="1"/>
  <c r="H337" i="9" s="1"/>
  <c r="H338" i="9" s="1"/>
  <c r="H322" i="9"/>
  <c r="H323" i="9" s="1"/>
  <c r="H324" i="9" s="1"/>
  <c r="H325" i="9" s="1"/>
  <c r="H326" i="9" s="1"/>
  <c r="H327" i="9" s="1"/>
  <c r="H328" i="9" s="1"/>
  <c r="H329" i="9" s="1"/>
  <c r="H313" i="9"/>
  <c r="H314" i="9" s="1"/>
  <c r="H315" i="9" s="1"/>
  <c r="H316" i="9" s="1"/>
  <c r="H317" i="9" s="1"/>
  <c r="H318" i="9" s="1"/>
  <c r="H319" i="9" s="1"/>
  <c r="H320" i="9" s="1"/>
  <c r="H301" i="9"/>
  <c r="H302" i="9" s="1"/>
  <c r="H303" i="9" s="1"/>
  <c r="H304" i="9" s="1"/>
  <c r="H305" i="9" s="1"/>
  <c r="H306" i="9" s="1"/>
  <c r="H307" i="9" s="1"/>
  <c r="H308" i="9" s="1"/>
  <c r="H309" i="9" s="1"/>
  <c r="H310" i="9" s="1"/>
  <c r="H311" i="9" s="1"/>
  <c r="H293" i="9"/>
  <c r="H294" i="9" s="1"/>
  <c r="H295" i="9" s="1"/>
  <c r="H296" i="9" s="1"/>
  <c r="H297" i="9" s="1"/>
  <c r="H298" i="9" s="1"/>
  <c r="H299" i="9" s="1"/>
  <c r="H285" i="9"/>
  <c r="H286" i="9" s="1"/>
  <c r="H287" i="9" s="1"/>
  <c r="H288" i="9" s="1"/>
  <c r="H289" i="9" s="1"/>
  <c r="H290" i="9" s="1"/>
  <c r="H291" i="9" s="1"/>
  <c r="H273" i="9"/>
  <c r="H274" i="9" s="1"/>
  <c r="H275" i="9" s="1"/>
  <c r="H276" i="9" s="1"/>
  <c r="H277" i="9" s="1"/>
  <c r="H278" i="9" s="1"/>
  <c r="H279" i="9" s="1"/>
  <c r="H280" i="9" s="1"/>
  <c r="H281" i="9" s="1"/>
  <c r="H282" i="9" s="1"/>
  <c r="H283" i="9" s="1"/>
  <c r="H265" i="9"/>
  <c r="H266" i="9" s="1"/>
  <c r="H267" i="9" s="1"/>
  <c r="H268" i="9" s="1"/>
  <c r="H269" i="9" s="1"/>
  <c r="H270" i="9" s="1"/>
  <c r="H271" i="9" s="1"/>
  <c r="H257" i="9"/>
  <c r="H258" i="9" s="1"/>
  <c r="H259" i="9" s="1"/>
  <c r="H260" i="9" s="1"/>
  <c r="H261" i="9" s="1"/>
  <c r="H262" i="9" s="1"/>
  <c r="H263" i="9" s="1"/>
  <c r="H247" i="9"/>
  <c r="H248" i="9" s="1"/>
  <c r="H249" i="9" s="1"/>
  <c r="H250" i="9" s="1"/>
  <c r="H251" i="9" s="1"/>
  <c r="H252" i="9" s="1"/>
  <c r="H253" i="9" s="1"/>
  <c r="H254" i="9" s="1"/>
  <c r="H255" i="9" s="1"/>
  <c r="H241" i="9"/>
  <c r="H242" i="9" s="1"/>
  <c r="H243" i="9" s="1"/>
  <c r="H244" i="9" s="1"/>
  <c r="H245" i="9" s="1"/>
  <c r="H238" i="9"/>
  <c r="H239" i="9" s="1"/>
  <c r="H228" i="9"/>
  <c r="H229" i="9" s="1"/>
  <c r="H230" i="9" s="1"/>
  <c r="H231" i="9" s="1"/>
  <c r="H232" i="9" s="1"/>
  <c r="H233" i="9" s="1"/>
  <c r="H234" i="9" s="1"/>
  <c r="H235" i="9" s="1"/>
  <c r="H236" i="9" s="1"/>
  <c r="H218" i="9"/>
  <c r="H219" i="9" s="1"/>
  <c r="H220" i="9" s="1"/>
  <c r="H221" i="9" s="1"/>
  <c r="H222" i="9" s="1"/>
  <c r="H223" i="9" s="1"/>
  <c r="H224" i="9" s="1"/>
  <c r="H225" i="9" s="1"/>
  <c r="H226" i="9" s="1"/>
  <c r="H208" i="9"/>
  <c r="H209" i="9" s="1"/>
  <c r="H210" i="9" s="1"/>
  <c r="H211" i="9" s="1"/>
  <c r="H212" i="9" s="1"/>
  <c r="H213" i="9" s="1"/>
  <c r="H214" i="9" s="1"/>
  <c r="H215" i="9" s="1"/>
  <c r="H216" i="9" s="1"/>
  <c r="H198" i="9"/>
  <c r="H199" i="9" s="1"/>
  <c r="H200" i="9" s="1"/>
  <c r="H201" i="9" s="1"/>
  <c r="H202" i="9" s="1"/>
  <c r="H203" i="9" s="1"/>
  <c r="H204" i="9" s="1"/>
  <c r="H205" i="9" s="1"/>
  <c r="H206" i="9" s="1"/>
  <c r="H191" i="9"/>
  <c r="H192" i="9" s="1"/>
  <c r="H193" i="9" s="1"/>
  <c r="H194" i="9" s="1"/>
  <c r="H195" i="9" s="1"/>
  <c r="H196" i="9" s="1"/>
  <c r="H187" i="9"/>
  <c r="H188" i="9" s="1"/>
  <c r="H189" i="9" s="1"/>
  <c r="H185" i="9"/>
  <c r="H175" i="9"/>
  <c r="H176" i="9" s="1"/>
  <c r="H177" i="9" s="1"/>
  <c r="H178" i="9" s="1"/>
  <c r="H179" i="9" s="1"/>
  <c r="H180" i="9" s="1"/>
  <c r="H181" i="9" s="1"/>
  <c r="H182" i="9" s="1"/>
  <c r="H183" i="9" s="1"/>
  <c r="H170" i="9"/>
  <c r="H171" i="9" s="1"/>
  <c r="H172" i="9" s="1"/>
  <c r="H173" i="9" s="1"/>
  <c r="H160" i="9"/>
  <c r="H161" i="9" s="1"/>
  <c r="H162" i="9" s="1"/>
  <c r="H163" i="9" s="1"/>
  <c r="H164" i="9" s="1"/>
  <c r="H165" i="9" s="1"/>
  <c r="H166" i="9" s="1"/>
  <c r="H167" i="9" s="1"/>
  <c r="H168" i="9" s="1"/>
  <c r="H155" i="9"/>
  <c r="H156" i="9" s="1"/>
  <c r="H157" i="9" s="1"/>
  <c r="H158" i="9" s="1"/>
  <c r="H138" i="9"/>
  <c r="H139" i="9" s="1"/>
  <c r="H140" i="9" s="1"/>
  <c r="H141" i="9" s="1"/>
  <c r="H142" i="9" s="1"/>
  <c r="H143" i="9" s="1"/>
  <c r="H144" i="9" s="1"/>
  <c r="H145" i="9" s="1"/>
  <c r="H146" i="9" s="1"/>
  <c r="H147" i="9" s="1"/>
  <c r="H148" i="9" s="1"/>
  <c r="H149" i="9" s="1"/>
  <c r="H150" i="9" s="1"/>
  <c r="H151" i="9" s="1"/>
  <c r="H152" i="9" s="1"/>
  <c r="H153" i="9" s="1"/>
  <c r="H124" i="9"/>
  <c r="H125" i="9" s="1"/>
  <c r="H126" i="9" s="1"/>
  <c r="H127" i="9" s="1"/>
  <c r="H128" i="9" s="1"/>
  <c r="H129" i="9" s="1"/>
  <c r="H130" i="9" s="1"/>
  <c r="H131" i="9" s="1"/>
  <c r="H132" i="9" s="1"/>
  <c r="H133" i="9" s="1"/>
  <c r="H134" i="9" s="1"/>
  <c r="H135" i="9" s="1"/>
  <c r="H136" i="9" s="1"/>
  <c r="H115" i="9"/>
  <c r="H116" i="9" s="1"/>
  <c r="H117" i="9" s="1"/>
  <c r="H118" i="9" s="1"/>
  <c r="H119" i="9" s="1"/>
  <c r="H120" i="9" s="1"/>
  <c r="H121" i="9" s="1"/>
  <c r="H122" i="9" s="1"/>
  <c r="H112" i="9"/>
  <c r="H113" i="9" s="1"/>
  <c r="H100" i="9"/>
  <c r="H101" i="9" s="1"/>
  <c r="H102" i="9" s="1"/>
  <c r="H103" i="9" s="1"/>
  <c r="H104" i="9" s="1"/>
  <c r="H105" i="9" s="1"/>
  <c r="H106" i="9" s="1"/>
  <c r="H107" i="9" s="1"/>
  <c r="H108" i="9" s="1"/>
  <c r="H109" i="9" s="1"/>
  <c r="H110" i="9" s="1"/>
  <c r="H89" i="9"/>
  <c r="H90" i="9" s="1"/>
  <c r="H91" i="9" s="1"/>
  <c r="H92" i="9" s="1"/>
  <c r="H93" i="9" s="1"/>
  <c r="H94" i="9" s="1"/>
  <c r="H95" i="9" s="1"/>
  <c r="H96" i="9" s="1"/>
  <c r="H97" i="9" s="1"/>
  <c r="H98" i="9" s="1"/>
  <c r="H78" i="9"/>
  <c r="H79" i="9" s="1"/>
  <c r="H80" i="9" s="1"/>
  <c r="H81" i="9" s="1"/>
  <c r="H62" i="9"/>
  <c r="H63" i="9" s="1"/>
  <c r="H64" i="9" s="1"/>
  <c r="H65" i="9" s="1"/>
  <c r="H66" i="9" s="1"/>
  <c r="H67" i="9" s="1"/>
  <c r="L57" i="9"/>
  <c r="L465" i="9"/>
  <c r="U185" i="9"/>
  <c r="T185" i="9"/>
  <c r="R185" i="9"/>
  <c r="P185" i="9"/>
  <c r="D185" i="9"/>
  <c r="S185" i="9" s="1"/>
  <c r="P178" i="9"/>
  <c r="R178" i="9"/>
  <c r="T178" i="9"/>
  <c r="U178" i="9"/>
  <c r="P179" i="9"/>
  <c r="R179" i="9"/>
  <c r="T179" i="9"/>
  <c r="U179" i="9"/>
  <c r="P180" i="9"/>
  <c r="R180" i="9"/>
  <c r="T180" i="9"/>
  <c r="U180" i="9"/>
  <c r="P181" i="9"/>
  <c r="R181" i="9"/>
  <c r="T181" i="9"/>
  <c r="U181" i="9"/>
  <c r="P182" i="9"/>
  <c r="R182" i="9"/>
  <c r="T182" i="9"/>
  <c r="U182" i="9"/>
  <c r="P183" i="9"/>
  <c r="R183" i="9"/>
  <c r="T183" i="9"/>
  <c r="U183" i="9"/>
  <c r="T61" i="9"/>
  <c r="T62" i="9"/>
  <c r="T63" i="9"/>
  <c r="T64" i="9"/>
  <c r="T65" i="9"/>
  <c r="T66" i="9"/>
  <c r="T67" i="9"/>
  <c r="U62" i="9"/>
  <c r="U63" i="9"/>
  <c r="U64" i="9"/>
  <c r="U65" i="9"/>
  <c r="U66" i="9"/>
  <c r="U67" i="9"/>
  <c r="U68" i="9"/>
  <c r="R62" i="9"/>
  <c r="R63" i="9"/>
  <c r="R64" i="9"/>
  <c r="R65" i="9"/>
  <c r="R66" i="9"/>
  <c r="R67" i="9"/>
  <c r="D62" i="9"/>
  <c r="D63" i="9" s="1"/>
  <c r="D64" i="9" s="1"/>
  <c r="D65" i="9" s="1"/>
  <c r="D66" i="9" s="1"/>
  <c r="D67" i="9" s="1"/>
  <c r="S67" i="9" s="1"/>
  <c r="D119" i="4"/>
  <c r="V104" i="4" s="1"/>
  <c r="C119" i="4"/>
  <c r="U104" i="4" s="1"/>
  <c r="A112" i="4"/>
  <c r="A113" i="4"/>
  <c r="A114" i="4"/>
  <c r="A115" i="4"/>
  <c r="A116" i="4"/>
  <c r="A117" i="4"/>
  <c r="A107" i="4"/>
  <c r="A108" i="4" s="1"/>
  <c r="A109" i="4" s="1"/>
  <c r="A110" i="4" s="1"/>
  <c r="A111" i="4" s="1"/>
  <c r="S117" i="4"/>
  <c r="S116" i="4"/>
  <c r="S115" i="4"/>
  <c r="S114" i="4"/>
  <c r="S113" i="4"/>
  <c r="S112" i="4"/>
  <c r="S111" i="4"/>
  <c r="S110" i="4"/>
  <c r="S109" i="4"/>
  <c r="S108" i="4"/>
  <c r="S107" i="4"/>
  <c r="S106" i="4"/>
  <c r="S1627" i="9"/>
  <c r="S1628" i="9"/>
  <c r="S1629" i="9"/>
  <c r="S1630" i="9"/>
  <c r="S1631" i="9"/>
  <c r="S1632" i="9"/>
  <c r="S1633" i="9"/>
  <c r="S1634" i="9"/>
  <c r="S1635" i="9"/>
  <c r="S1636" i="9"/>
  <c r="S1637" i="9"/>
  <c r="S1638" i="9"/>
  <c r="S1639" i="9"/>
  <c r="S1640" i="9"/>
  <c r="S1626" i="9"/>
  <c r="L1618" i="9"/>
  <c r="K1618" i="9"/>
  <c r="T214" i="4" l="1"/>
  <c r="T170" i="4"/>
  <c r="T236" i="4"/>
  <c r="T192" i="4"/>
  <c r="T148" i="4"/>
  <c r="P753" i="9"/>
  <c r="Q67" i="9"/>
  <c r="P754" i="9"/>
  <c r="R754" i="9"/>
  <c r="G705" i="9"/>
  <c r="F707" i="9"/>
  <c r="G706" i="9"/>
  <c r="Q185" i="9"/>
  <c r="S65" i="9"/>
  <c r="Q65" i="9" s="1"/>
  <c r="S62" i="9"/>
  <c r="Q62" i="9" s="1"/>
  <c r="S64" i="9"/>
  <c r="Q64" i="9" s="1"/>
  <c r="S63" i="9"/>
  <c r="Q63" i="9" s="1"/>
  <c r="S66" i="9"/>
  <c r="Q66" i="9" s="1"/>
  <c r="I184" i="1"/>
  <c r="H752" i="9"/>
  <c r="R589" i="9"/>
  <c r="U589" i="9"/>
  <c r="O699" i="9"/>
  <c r="O700" i="9"/>
  <c r="O701" i="9"/>
  <c r="O702" i="9"/>
  <c r="O703" i="9"/>
  <c r="S555" i="9"/>
  <c r="S534" i="9"/>
  <c r="O530" i="9"/>
  <c r="O531" i="9"/>
  <c r="O532" i="9"/>
  <c r="O533" i="9"/>
  <c r="S389" i="9"/>
  <c r="S380" i="9"/>
  <c r="S371" i="9"/>
  <c r="S348" i="9"/>
  <c r="S357" i="9"/>
  <c r="S339" i="9"/>
  <c r="S321" i="9"/>
  <c r="S330" i="9"/>
  <c r="S312" i="9"/>
  <c r="S292" i="9"/>
  <c r="S300" i="9"/>
  <c r="S284" i="9"/>
  <c r="S264" i="9"/>
  <c r="S272" i="9"/>
  <c r="S256" i="9"/>
  <c r="P244" i="9"/>
  <c r="R244" i="9"/>
  <c r="T244" i="9"/>
  <c r="U244" i="9"/>
  <c r="P245" i="9"/>
  <c r="R245" i="9"/>
  <c r="T245" i="9"/>
  <c r="U245" i="9"/>
  <c r="S227" i="9"/>
  <c r="S217" i="9"/>
  <c r="S207" i="9"/>
  <c r="S197" i="9"/>
  <c r="Q5" i="9"/>
  <c r="Q6" i="9"/>
  <c r="F708" i="9" l="1"/>
  <c r="G707" i="9"/>
  <c r="Q245" i="9"/>
  <c r="Q244" i="9"/>
  <c r="F709" i="9" l="1"/>
  <c r="G708" i="9"/>
  <c r="F724" i="9"/>
  <c r="F725" i="9" s="1"/>
  <c r="F726" i="9" s="1"/>
  <c r="F727" i="9" s="1"/>
  <c r="F728" i="9" s="1"/>
  <c r="F729" i="9" s="1"/>
  <c r="F730" i="9" s="1"/>
  <c r="F731" i="9" s="1"/>
  <c r="F732" i="9" s="1"/>
  <c r="F733" i="9" s="1"/>
  <c r="F734" i="9" s="1"/>
  <c r="F735" i="9" s="1"/>
  <c r="F736" i="9" s="1"/>
  <c r="F737" i="9" s="1"/>
  <c r="F738" i="9" s="1"/>
  <c r="F739" i="9" s="1"/>
  <c r="F740" i="9" s="1"/>
  <c r="F741" i="9" s="1"/>
  <c r="F742" i="9" s="1"/>
  <c r="F743" i="9" s="1"/>
  <c r="F744" i="9" s="1"/>
  <c r="F745" i="9" s="1"/>
  <c r="F746" i="9" s="1"/>
  <c r="F747" i="9" s="1"/>
  <c r="F748" i="9" s="1"/>
  <c r="F749" i="9" s="1"/>
  <c r="F750" i="9" s="1"/>
  <c r="G683" i="9"/>
  <c r="F679" i="9"/>
  <c r="F680" i="9" s="1"/>
  <c r="F681" i="9" s="1"/>
  <c r="F682" i="9" s="1"/>
  <c r="F683" i="9" s="1"/>
  <c r="F684" i="9" s="1"/>
  <c r="F685" i="9" s="1"/>
  <c r="F686" i="9" s="1"/>
  <c r="F687" i="9" s="1"/>
  <c r="F688" i="9" s="1"/>
  <c r="F689" i="9" s="1"/>
  <c r="F690" i="9" s="1"/>
  <c r="F691" i="9" s="1"/>
  <c r="F692" i="9" s="1"/>
  <c r="F693" i="9" s="1"/>
  <c r="F694" i="9" s="1"/>
  <c r="F695" i="9" s="1"/>
  <c r="F696" i="9" s="1"/>
  <c r="F697" i="9" s="1"/>
  <c r="F698" i="9" s="1"/>
  <c r="F699" i="9" s="1"/>
  <c r="F700" i="9" s="1"/>
  <c r="F701" i="9" s="1"/>
  <c r="F702" i="9" s="1"/>
  <c r="F703" i="9" s="1"/>
  <c r="F654" i="9"/>
  <c r="F655" i="9" s="1"/>
  <c r="F656" i="9" s="1"/>
  <c r="F657" i="9" s="1"/>
  <c r="F658" i="9" s="1"/>
  <c r="F659" i="9" s="1"/>
  <c r="F660" i="9" s="1"/>
  <c r="F661" i="9" s="1"/>
  <c r="F662" i="9" s="1"/>
  <c r="F663" i="9" s="1"/>
  <c r="F664" i="9" s="1"/>
  <c r="F665" i="9" s="1"/>
  <c r="F666" i="9" s="1"/>
  <c r="F667" i="9" s="1"/>
  <c r="F668" i="9" s="1"/>
  <c r="F669" i="9" s="1"/>
  <c r="F670" i="9" s="1"/>
  <c r="F671" i="9" s="1"/>
  <c r="F672" i="9" s="1"/>
  <c r="F633" i="9"/>
  <c r="F634" i="9" s="1"/>
  <c r="F635" i="9" s="1"/>
  <c r="F636" i="9" s="1"/>
  <c r="F637" i="9" s="1"/>
  <c r="F638" i="9" s="1"/>
  <c r="F639" i="9" s="1"/>
  <c r="F640" i="9" s="1"/>
  <c r="F641" i="9" s="1"/>
  <c r="F642" i="9" s="1"/>
  <c r="F643" i="9" s="1"/>
  <c r="F644" i="9" s="1"/>
  <c r="F645" i="9" s="1"/>
  <c r="F646" i="9" s="1"/>
  <c r="F647" i="9" s="1"/>
  <c r="F648" i="9" s="1"/>
  <c r="F649" i="9" s="1"/>
  <c r="F650" i="9" s="1"/>
  <c r="F651" i="9" s="1"/>
  <c r="F710" i="9" l="1"/>
  <c r="G709" i="9"/>
  <c r="F592" i="9"/>
  <c r="F593" i="9" s="1"/>
  <c r="F594" i="9" s="1"/>
  <c r="F595" i="9" s="1"/>
  <c r="F596" i="9" s="1"/>
  <c r="F597" i="9" s="1"/>
  <c r="F598" i="9" s="1"/>
  <c r="F599" i="9" s="1"/>
  <c r="F600" i="9" s="1"/>
  <c r="F601" i="9" s="1"/>
  <c r="F602" i="9" s="1"/>
  <c r="F603" i="9" s="1"/>
  <c r="F604" i="9" s="1"/>
  <c r="F605" i="9" s="1"/>
  <c r="F606" i="9" s="1"/>
  <c r="F607" i="9" s="1"/>
  <c r="F608" i="9" s="1"/>
  <c r="F609" i="9" s="1"/>
  <c r="F610" i="9" s="1"/>
  <c r="F611" i="9" s="1"/>
  <c r="F612" i="9" s="1"/>
  <c r="F613" i="9" s="1"/>
  <c r="F614" i="9" s="1"/>
  <c r="F615" i="9" s="1"/>
  <c r="F616" i="9" s="1"/>
  <c r="F617" i="9" s="1"/>
  <c r="F618" i="9" s="1"/>
  <c r="F619" i="9" s="1"/>
  <c r="F620" i="9" s="1"/>
  <c r="F621" i="9" s="1"/>
  <c r="F622" i="9" s="1"/>
  <c r="F623" i="9" s="1"/>
  <c r="F624" i="9" s="1"/>
  <c r="F625" i="9" s="1"/>
  <c r="F626" i="9" s="1"/>
  <c r="F627" i="9" s="1"/>
  <c r="F628" i="9" s="1"/>
  <c r="F629" i="9" s="1"/>
  <c r="F630" i="9" s="1"/>
  <c r="F573" i="9"/>
  <c r="F574" i="9" s="1"/>
  <c r="F575" i="9" s="1"/>
  <c r="F576" i="9" s="1"/>
  <c r="F577" i="9" s="1"/>
  <c r="F578" i="9" s="1"/>
  <c r="F579" i="9" s="1"/>
  <c r="F580" i="9" s="1"/>
  <c r="F581" i="9" s="1"/>
  <c r="F582" i="9" s="1"/>
  <c r="F583" i="9" s="1"/>
  <c r="F584" i="9" s="1"/>
  <c r="F585" i="9" s="1"/>
  <c r="F586" i="9" s="1"/>
  <c r="F587" i="9" s="1"/>
  <c r="F588" i="9" s="1"/>
  <c r="F589" i="9" s="1"/>
  <c r="F557" i="9"/>
  <c r="F558" i="9" s="1"/>
  <c r="F559" i="9" s="1"/>
  <c r="F560" i="9" s="1"/>
  <c r="F561" i="9" s="1"/>
  <c r="F562" i="9" s="1"/>
  <c r="F563" i="9" s="1"/>
  <c r="F564" i="9" s="1"/>
  <c r="F565" i="9" s="1"/>
  <c r="F566" i="9" s="1"/>
  <c r="F567" i="9" s="1"/>
  <c r="F568" i="9" s="1"/>
  <c r="F569" i="9" s="1"/>
  <c r="F570" i="9" s="1"/>
  <c r="F536" i="9"/>
  <c r="F537" i="9" s="1"/>
  <c r="F538" i="9" s="1"/>
  <c r="F539" i="9" s="1"/>
  <c r="F540" i="9" s="1"/>
  <c r="F541" i="9" s="1"/>
  <c r="F542" i="9" s="1"/>
  <c r="F543" i="9" s="1"/>
  <c r="F544" i="9" s="1"/>
  <c r="F545" i="9" s="1"/>
  <c r="F546" i="9" s="1"/>
  <c r="F547" i="9" s="1"/>
  <c r="F548" i="9" s="1"/>
  <c r="F549" i="9" s="1"/>
  <c r="F550" i="9" s="1"/>
  <c r="F551" i="9" s="1"/>
  <c r="F552" i="9" s="1"/>
  <c r="F553" i="9" s="1"/>
  <c r="F554" i="9" s="1"/>
  <c r="D530" i="9"/>
  <c r="F512" i="9"/>
  <c r="F513" i="9" s="1"/>
  <c r="F514" i="9" s="1"/>
  <c r="F515" i="9" s="1"/>
  <c r="F516" i="9" s="1"/>
  <c r="F517" i="9" s="1"/>
  <c r="F518" i="9" s="1"/>
  <c r="F519" i="9" s="1"/>
  <c r="F520" i="9" s="1"/>
  <c r="F521" i="9" s="1"/>
  <c r="F522" i="9" s="1"/>
  <c r="F523" i="9" s="1"/>
  <c r="F524" i="9" s="1"/>
  <c r="F525" i="9" s="1"/>
  <c r="F526" i="9" s="1"/>
  <c r="F527" i="9" s="1"/>
  <c r="F528" i="9" s="1"/>
  <c r="F529" i="9" s="1"/>
  <c r="F530" i="9" s="1"/>
  <c r="F531" i="9" s="1"/>
  <c r="F532" i="9" s="1"/>
  <c r="F533" i="9" s="1"/>
  <c r="F491" i="9"/>
  <c r="F492" i="9" s="1"/>
  <c r="F493" i="9" s="1"/>
  <c r="F494" i="9" s="1"/>
  <c r="F495" i="9" s="1"/>
  <c r="F496" i="9" s="1"/>
  <c r="F497" i="9" s="1"/>
  <c r="F498" i="9" s="1"/>
  <c r="F499" i="9" s="1"/>
  <c r="F500" i="9" s="1"/>
  <c r="F501" i="9" s="1"/>
  <c r="F502" i="9" s="1"/>
  <c r="F503" i="9" s="1"/>
  <c r="F504" i="9" s="1"/>
  <c r="F505" i="9" s="1"/>
  <c r="F506" i="9" s="1"/>
  <c r="F507" i="9" s="1"/>
  <c r="F508" i="9" s="1"/>
  <c r="G491" i="9"/>
  <c r="G492" i="9" s="1"/>
  <c r="G493" i="9" s="1"/>
  <c r="G494" i="9" s="1"/>
  <c r="G495" i="9" s="1"/>
  <c r="G496" i="9" s="1"/>
  <c r="G497" i="9" s="1"/>
  <c r="G498" i="9" s="1"/>
  <c r="G499" i="9" s="1"/>
  <c r="G500" i="9" s="1"/>
  <c r="G501" i="9" s="1"/>
  <c r="G502" i="9" s="1"/>
  <c r="G503" i="9" s="1"/>
  <c r="G504" i="9" s="1"/>
  <c r="G505" i="9" s="1"/>
  <c r="G506" i="9" s="1"/>
  <c r="G507" i="9" s="1"/>
  <c r="G508" i="9" s="1"/>
  <c r="G470" i="9"/>
  <c r="G471" i="9" s="1"/>
  <c r="G472" i="9" s="1"/>
  <c r="G473" i="9" s="1"/>
  <c r="D245" i="9"/>
  <c r="D244" i="9"/>
  <c r="F711" i="9" l="1"/>
  <c r="G710" i="9"/>
  <c r="D141" i="6"/>
  <c r="F712" i="9" l="1"/>
  <c r="G711" i="9"/>
  <c r="S132" i="6"/>
  <c r="T132" i="6"/>
  <c r="S143" i="6"/>
  <c r="T143" i="6"/>
  <c r="S144" i="6"/>
  <c r="T144" i="6"/>
  <c r="S148" i="6"/>
  <c r="T148" i="6"/>
  <c r="S155" i="6"/>
  <c r="T155" i="6"/>
  <c r="S156" i="6"/>
  <c r="T156" i="6"/>
  <c r="S157" i="6"/>
  <c r="T157" i="6"/>
  <c r="S159" i="6"/>
  <c r="T159" i="6"/>
  <c r="S160" i="6"/>
  <c r="T160" i="6"/>
  <c r="S161" i="6"/>
  <c r="T161" i="6"/>
  <c r="S162" i="6"/>
  <c r="T162" i="6"/>
  <c r="S163" i="6"/>
  <c r="T163" i="6"/>
  <c r="S164" i="6"/>
  <c r="T164" i="6"/>
  <c r="S165" i="6"/>
  <c r="T165" i="6"/>
  <c r="S169" i="6"/>
  <c r="T169" i="6"/>
  <c r="S171" i="6"/>
  <c r="T171" i="6"/>
  <c r="S172" i="6"/>
  <c r="T172" i="6"/>
  <c r="S173" i="6"/>
  <c r="T173" i="6"/>
  <c r="S174" i="6"/>
  <c r="T174" i="6"/>
  <c r="S178" i="6"/>
  <c r="T178" i="6"/>
  <c r="S180" i="6"/>
  <c r="T180" i="6"/>
  <c r="S181" i="6"/>
  <c r="T181" i="6"/>
  <c r="S182" i="6"/>
  <c r="T182" i="6"/>
  <c r="S183" i="6"/>
  <c r="T183" i="6"/>
  <c r="S184" i="6"/>
  <c r="T184" i="6"/>
  <c r="S185" i="6"/>
  <c r="T185" i="6"/>
  <c r="S186" i="6"/>
  <c r="T186" i="6"/>
  <c r="S187" i="6"/>
  <c r="T187" i="6"/>
  <c r="S198" i="6"/>
  <c r="T198" i="6"/>
  <c r="S199" i="6"/>
  <c r="T199" i="6"/>
  <c r="S200" i="6"/>
  <c r="T200" i="6"/>
  <c r="S201" i="6"/>
  <c r="T201" i="6"/>
  <c r="S116" i="6"/>
  <c r="T116" i="6"/>
  <c r="S117" i="6"/>
  <c r="T117" i="6"/>
  <c r="S118" i="6"/>
  <c r="T118" i="6"/>
  <c r="S120" i="6"/>
  <c r="T120" i="6"/>
  <c r="S121" i="6"/>
  <c r="T121" i="6"/>
  <c r="S122" i="6"/>
  <c r="T122" i="6"/>
  <c r="S123" i="6"/>
  <c r="T123" i="6"/>
  <c r="S124" i="6"/>
  <c r="T124" i="6"/>
  <c r="T115" i="6"/>
  <c r="S115" i="6"/>
  <c r="S51" i="6"/>
  <c r="T51" i="6"/>
  <c r="S55" i="6"/>
  <c r="T55" i="6"/>
  <c r="S57" i="6"/>
  <c r="T57" i="6"/>
  <c r="S58" i="6"/>
  <c r="T58" i="6"/>
  <c r="S59" i="6"/>
  <c r="T59" i="6"/>
  <c r="S61" i="6"/>
  <c r="T61" i="6"/>
  <c r="S62" i="6"/>
  <c r="T62" i="6"/>
  <c r="S26" i="6"/>
  <c r="T26" i="6"/>
  <c r="S27" i="6"/>
  <c r="T27" i="6"/>
  <c r="S32" i="6"/>
  <c r="T32" i="6"/>
  <c r="Q182" i="6"/>
  <c r="Q181" i="6"/>
  <c r="Q180" i="6"/>
  <c r="Q179" i="6"/>
  <c r="Q178" i="6"/>
  <c r="Q177" i="6"/>
  <c r="Q176" i="6"/>
  <c r="Q175" i="6"/>
  <c r="W200" i="6"/>
  <c r="W172" i="6"/>
  <c r="W171" i="6"/>
  <c r="W161" i="6"/>
  <c r="W169" i="6"/>
  <c r="W181" i="6"/>
  <c r="W160" i="6"/>
  <c r="W180" i="6"/>
  <c r="W201" i="6"/>
  <c r="W164" i="6"/>
  <c r="W178" i="6"/>
  <c r="W163" i="6"/>
  <c r="W159" i="6"/>
  <c r="W199" i="6"/>
  <c r="V127" i="6"/>
  <c r="V190" i="6"/>
  <c r="V179" i="6"/>
  <c r="V147" i="6"/>
  <c r="V139" i="6"/>
  <c r="V192" i="6"/>
  <c r="V137" i="6"/>
  <c r="V138" i="6"/>
  <c r="V167" i="6"/>
  <c r="V131" i="6"/>
  <c r="V134" i="6"/>
  <c r="V154" i="6"/>
  <c r="V136" i="6"/>
  <c r="V194" i="6"/>
  <c r="V197" i="6"/>
  <c r="V119" i="6"/>
  <c r="V196" i="6"/>
  <c r="V191" i="6"/>
  <c r="V158" i="6"/>
  <c r="V125" i="6"/>
  <c r="V133" i="6"/>
  <c r="V170" i="6"/>
  <c r="V176" i="6"/>
  <c r="V151" i="6"/>
  <c r="V166" i="6"/>
  <c r="V126" i="6"/>
  <c r="V153" i="6"/>
  <c r="V135" i="6"/>
  <c r="V175" i="6"/>
  <c r="V146" i="6"/>
  <c r="V129" i="6"/>
  <c r="V168" i="6"/>
  <c r="V152" i="6"/>
  <c r="V189" i="6"/>
  <c r="V145" i="6"/>
  <c r="V140" i="6"/>
  <c r="V193" i="6"/>
  <c r="V128" i="6"/>
  <c r="W182" i="6"/>
  <c r="V195" i="6"/>
  <c r="V188" i="6"/>
  <c r="V150" i="6"/>
  <c r="V177" i="6"/>
  <c r="V141" i="6"/>
  <c r="V149" i="6"/>
  <c r="V130" i="6"/>
  <c r="W173" i="6"/>
  <c r="V142" i="6"/>
  <c r="W116" i="6"/>
  <c r="W118" i="6"/>
  <c r="W156" i="6"/>
  <c r="W157" i="6"/>
  <c r="W122" i="6"/>
  <c r="W185" i="6"/>
  <c r="W186" i="6"/>
  <c r="W183" i="6"/>
  <c r="W187" i="6"/>
  <c r="W184" i="6"/>
  <c r="W121" i="6"/>
  <c r="W120" i="6"/>
  <c r="W162" i="6"/>
  <c r="V13" i="6"/>
  <c r="F713" i="9" l="1"/>
  <c r="G712" i="9"/>
  <c r="B173" i="6"/>
  <c r="B182" i="6"/>
  <c r="W26" i="6"/>
  <c r="S166" i="6"/>
  <c r="V44" i="6"/>
  <c r="T168" i="6"/>
  <c r="S139" i="6"/>
  <c r="V35" i="6"/>
  <c r="T189" i="6"/>
  <c r="T130" i="6"/>
  <c r="T194" i="6"/>
  <c r="V28" i="6"/>
  <c r="T179" i="6"/>
  <c r="S188" i="6"/>
  <c r="V7" i="6"/>
  <c r="S158" i="6"/>
  <c r="T127" i="6"/>
  <c r="V36" i="6"/>
  <c r="T134" i="6"/>
  <c r="V22" i="6"/>
  <c r="S170" i="6"/>
  <c r="S119" i="6"/>
  <c r="S193" i="6"/>
  <c r="S129" i="6"/>
  <c r="V53" i="6"/>
  <c r="V33" i="6"/>
  <c r="S196" i="6"/>
  <c r="V50" i="6"/>
  <c r="V6" i="6"/>
  <c r="T131" i="6"/>
  <c r="S191" i="6"/>
  <c r="T192" i="6"/>
  <c r="S192" i="6"/>
  <c r="S151" i="6"/>
  <c r="V25" i="6"/>
  <c r="T152" i="6"/>
  <c r="T197" i="6"/>
  <c r="S136" i="6"/>
  <c r="V47" i="6"/>
  <c r="V16" i="6"/>
  <c r="T128" i="6"/>
  <c r="V49" i="6"/>
  <c r="T153" i="6"/>
  <c r="T135" i="6"/>
  <c r="S125" i="6"/>
  <c r="T190" i="6"/>
  <c r="T193" i="6"/>
  <c r="T167" i="6"/>
  <c r="T145" i="6"/>
  <c r="T195" i="6"/>
  <c r="S145" i="6"/>
  <c r="V34" i="6"/>
  <c r="S197" i="6"/>
  <c r="S146" i="6"/>
  <c r="V17" i="6"/>
  <c r="S150" i="6"/>
  <c r="S195" i="6"/>
  <c r="T129" i="6"/>
  <c r="S127" i="6"/>
  <c r="S126" i="6"/>
  <c r="T196" i="6"/>
  <c r="S177" i="6"/>
  <c r="S147" i="6"/>
  <c r="T175" i="6"/>
  <c r="V43" i="6"/>
  <c r="V31" i="6"/>
  <c r="T170" i="6"/>
  <c r="T138" i="6"/>
  <c r="S153" i="6"/>
  <c r="V24" i="6"/>
  <c r="S175" i="6"/>
  <c r="S167" i="6"/>
  <c r="T166" i="6"/>
  <c r="V54" i="6"/>
  <c r="V45" i="6"/>
  <c r="V20" i="6"/>
  <c r="V46" i="6"/>
  <c r="V23" i="6"/>
  <c r="T139" i="6"/>
  <c r="V18" i="6"/>
  <c r="T154" i="6"/>
  <c r="T191" i="6"/>
  <c r="S194" i="6"/>
  <c r="S149" i="6"/>
  <c r="T158" i="6"/>
  <c r="S176" i="6"/>
  <c r="S140" i="6"/>
  <c r="S179" i="6"/>
  <c r="S154" i="6"/>
  <c r="S133" i="6"/>
  <c r="V56" i="6"/>
  <c r="T150" i="6"/>
  <c r="T176" i="6"/>
  <c r="S131" i="6"/>
  <c r="V52" i="6"/>
  <c r="V40" i="6"/>
  <c r="S135" i="6"/>
  <c r="S190" i="6"/>
  <c r="T125" i="6"/>
  <c r="S130" i="6"/>
  <c r="V30" i="6"/>
  <c r="S142" i="6"/>
  <c r="S168" i="6"/>
  <c r="V39" i="6"/>
  <c r="S152" i="6"/>
  <c r="W32" i="6"/>
  <c r="T177" i="6"/>
  <c r="V37" i="6"/>
  <c r="V42" i="6"/>
  <c r="V60" i="6"/>
  <c r="V21" i="6"/>
  <c r="T119" i="6"/>
  <c r="T188" i="6"/>
  <c r="T126" i="6"/>
  <c r="S134" i="6"/>
  <c r="S138" i="6"/>
  <c r="T146" i="6"/>
  <c r="S137" i="6"/>
  <c r="T133" i="6"/>
  <c r="V19" i="6"/>
  <c r="V29" i="6"/>
  <c r="T140" i="6"/>
  <c r="S128" i="6"/>
  <c r="T142" i="6"/>
  <c r="V48" i="6"/>
  <c r="S141" i="6"/>
  <c r="V38" i="6"/>
  <c r="T137" i="6"/>
  <c r="T151" i="6"/>
  <c r="V41" i="6"/>
  <c r="T149" i="6"/>
  <c r="S189" i="6"/>
  <c r="T141" i="6"/>
  <c r="T136" i="6"/>
  <c r="T147" i="6"/>
  <c r="W57" i="6"/>
  <c r="W62" i="6"/>
  <c r="W61" i="6"/>
  <c r="W58" i="6"/>
  <c r="W51" i="6"/>
  <c r="S13" i="6"/>
  <c r="T13" i="6"/>
  <c r="F714" i="9" l="1"/>
  <c r="G713" i="9"/>
  <c r="I103" i="1"/>
  <c r="D149" i="6"/>
  <c r="D145" i="6"/>
  <c r="D60" i="6"/>
  <c r="D119" i="6"/>
  <c r="G312" i="6"/>
  <c r="G311" i="6"/>
  <c r="G310" i="6"/>
  <c r="G309" i="6"/>
  <c r="G308" i="6"/>
  <c r="G307" i="6"/>
  <c r="G306" i="6"/>
  <c r="G305" i="6"/>
  <c r="G304" i="6"/>
  <c r="G303" i="6"/>
  <c r="G302" i="6"/>
  <c r="G301"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D33" i="6"/>
  <c r="D31" i="6"/>
  <c r="D29" i="6"/>
  <c r="D158" i="6"/>
  <c r="D160" i="6"/>
  <c r="Y6" i="6"/>
  <c r="D180" i="6"/>
  <c r="D159" i="6"/>
  <c r="D178" i="6"/>
  <c r="D172" i="6"/>
  <c r="Y10" i="6"/>
  <c r="Y8" i="6"/>
  <c r="D169" i="6"/>
  <c r="D200" i="6"/>
  <c r="Y5" i="6"/>
  <c r="D181" i="6"/>
  <c r="Y9" i="6"/>
  <c r="D171" i="6"/>
  <c r="D163" i="6"/>
  <c r="Y7" i="6"/>
  <c r="D164" i="6"/>
  <c r="D177" i="6"/>
  <c r="S28" i="6"/>
  <c r="T17" i="6"/>
  <c r="T25" i="6"/>
  <c r="T42" i="6"/>
  <c r="D190" i="6"/>
  <c r="S39" i="6"/>
  <c r="D140" i="6"/>
  <c r="S36" i="6"/>
  <c r="D170" i="6"/>
  <c r="S56" i="6"/>
  <c r="S24" i="6"/>
  <c r="D150" i="6"/>
  <c r="D189" i="6"/>
  <c r="T43" i="6"/>
  <c r="S33" i="6"/>
  <c r="T46" i="6"/>
  <c r="S60" i="6"/>
  <c r="D153" i="6"/>
  <c r="D193" i="6"/>
  <c r="T21" i="6"/>
  <c r="T49" i="6"/>
  <c r="T50" i="6"/>
  <c r="T19" i="6"/>
  <c r="S37" i="6"/>
  <c r="D168" i="6"/>
  <c r="D154" i="6"/>
  <c r="D151" i="6"/>
  <c r="T52" i="6"/>
  <c r="T44" i="6"/>
  <c r="D194" i="6"/>
  <c r="T56" i="6"/>
  <c r="S40" i="6"/>
  <c r="T24" i="6"/>
  <c r="S31" i="6"/>
  <c r="T34" i="6"/>
  <c r="S35" i="6"/>
  <c r="D146" i="6"/>
  <c r="S18" i="6"/>
  <c r="T37" i="6"/>
  <c r="D192" i="6"/>
  <c r="T30" i="6"/>
  <c r="S48" i="6"/>
  <c r="S45" i="6"/>
  <c r="S49" i="6"/>
  <c r="T53" i="6"/>
  <c r="D147" i="6"/>
  <c r="D196" i="6"/>
  <c r="T60" i="6"/>
  <c r="D182" i="6"/>
  <c r="S29" i="6"/>
  <c r="D142" i="6"/>
  <c r="T23" i="6"/>
  <c r="S25" i="6"/>
  <c r="T18" i="6"/>
  <c r="S41" i="6"/>
  <c r="T20" i="6"/>
  <c r="S23" i="6"/>
  <c r="D152" i="6"/>
  <c r="T45" i="6"/>
  <c r="S17" i="6"/>
  <c r="D195" i="6"/>
  <c r="D179" i="6"/>
  <c r="D173" i="6"/>
  <c r="D139" i="6"/>
  <c r="S30" i="6"/>
  <c r="S21" i="6"/>
  <c r="S53" i="6"/>
  <c r="T35" i="6"/>
  <c r="D197" i="6"/>
  <c r="T47" i="6"/>
  <c r="S54" i="6"/>
  <c r="T48" i="6"/>
  <c r="S52" i="6"/>
  <c r="D131" i="6"/>
  <c r="D167" i="6"/>
  <c r="S50" i="6"/>
  <c r="V5" i="6"/>
  <c r="S43" i="6"/>
  <c r="S42" i="6"/>
  <c r="T39" i="6"/>
  <c r="S22" i="6"/>
  <c r="D176" i="6"/>
  <c r="T28" i="6"/>
  <c r="S34" i="6"/>
  <c r="T36" i="6"/>
  <c r="S44" i="6"/>
  <c r="T33" i="6"/>
  <c r="T22" i="6"/>
  <c r="T16" i="6"/>
  <c r="T29" i="6"/>
  <c r="T40" i="6"/>
  <c r="S47" i="6"/>
  <c r="S19" i="6"/>
  <c r="T31" i="6"/>
  <c r="S38" i="6"/>
  <c r="S46" i="6"/>
  <c r="T54" i="6"/>
  <c r="T38" i="6"/>
  <c r="S16" i="6"/>
  <c r="S20" i="6"/>
  <c r="T41" i="6"/>
  <c r="T6" i="6"/>
  <c r="S6" i="6"/>
  <c r="F715" i="9" l="1"/>
  <c r="G714" i="9"/>
  <c r="D166" i="6"/>
  <c r="D175" i="6"/>
  <c r="D191" i="6"/>
  <c r="D188" i="6"/>
  <c r="O343" i="2"/>
  <c r="O339" i="2"/>
  <c r="O342" i="2"/>
  <c r="O338" i="2"/>
  <c r="O335" i="2"/>
  <c r="O334" i="2"/>
  <c r="O333" i="2"/>
  <c r="O345" i="2" s="1"/>
  <c r="O332" i="2"/>
  <c r="O344" i="2" s="1"/>
  <c r="K221" i="110"/>
  <c r="L201" i="110"/>
  <c r="K224" i="1"/>
  <c r="L224" i="1"/>
  <c r="L208" i="1"/>
  <c r="L201" i="1"/>
  <c r="D39" i="6"/>
  <c r="H8" i="6"/>
  <c r="H10" i="6"/>
  <c r="D49" i="6"/>
  <c r="D47" i="6"/>
  <c r="D48" i="6"/>
  <c r="D50" i="6"/>
  <c r="T5" i="6"/>
  <c r="V105" i="2"/>
  <c r="V104" i="2"/>
  <c r="S5" i="6"/>
  <c r="V102" i="2"/>
  <c r="F716" i="9" l="1"/>
  <c r="G715" i="9"/>
  <c r="O337" i="2"/>
  <c r="O341" i="2"/>
  <c r="O340" i="2"/>
  <c r="O336" i="2"/>
  <c r="F717" i="9" l="1"/>
  <c r="G716" i="9"/>
  <c r="D38" i="102"/>
  <c r="J4" i="102"/>
  <c r="L221" i="110"/>
  <c r="F718" i="9" l="1"/>
  <c r="G717" i="9"/>
  <c r="W110" i="2"/>
  <c r="W109" i="2"/>
  <c r="W108" i="2"/>
  <c r="M210" i="1"/>
  <c r="L225" i="110"/>
  <c r="K225" i="110"/>
  <c r="L237" i="1"/>
  <c r="I103" i="110"/>
  <c r="F11" i="110"/>
  <c r="B2" i="110"/>
  <c r="B1" i="110"/>
  <c r="V110" i="2"/>
  <c r="V109" i="2"/>
  <c r="V108" i="2"/>
  <c r="F719" i="9" l="1"/>
  <c r="G718" i="9"/>
  <c r="L233" i="1"/>
  <c r="K237" i="1"/>
  <c r="F720" i="9" l="1"/>
  <c r="G719" i="9"/>
  <c r="A198" i="2"/>
  <c r="A199" i="2"/>
  <c r="A200" i="2"/>
  <c r="A201" i="2"/>
  <c r="A202" i="2"/>
  <c r="A203" i="2"/>
  <c r="A204" i="2"/>
  <c r="A205" i="2"/>
  <c r="A206" i="2"/>
  <c r="A207" i="2"/>
  <c r="A208" i="2"/>
  <c r="A209" i="2"/>
  <c r="A197" i="2"/>
  <c r="F7" i="10"/>
  <c r="F7" i="1" l="1"/>
  <c r="F721" i="9"/>
  <c r="G720" i="9"/>
  <c r="V260" i="2"/>
  <c r="O260" i="2"/>
  <c r="V346" i="2"/>
  <c r="O267" i="2"/>
  <c r="O268" i="2"/>
  <c r="O266" i="2"/>
  <c r="U720" i="9" l="1"/>
  <c r="R720" i="9"/>
  <c r="G721" i="9"/>
  <c r="D16" i="2"/>
  <c r="V30" i="2"/>
  <c r="Q151" i="2"/>
  <c r="Q150" i="2"/>
  <c r="Q147" i="2"/>
  <c r="Q146" i="2"/>
  <c r="Q145" i="2"/>
  <c r="Q144" i="2"/>
  <c r="Q143" i="2"/>
  <c r="Q142" i="2"/>
  <c r="Q141" i="2"/>
  <c r="Q140" i="2"/>
  <c r="Q139" i="2"/>
  <c r="Q138" i="2"/>
  <c r="Q137" i="2"/>
  <c r="Q136" i="2"/>
  <c r="Q135" i="2"/>
  <c r="Q134" i="2"/>
  <c r="Q105" i="2"/>
  <c r="Q104" i="2"/>
  <c r="Q103" i="2"/>
  <c r="Q102" i="2"/>
  <c r="Q101" i="2"/>
  <c r="Q100" i="2"/>
  <c r="Q99" i="2"/>
  <c r="Q98" i="2"/>
  <c r="Q97" i="2"/>
  <c r="Q96" i="2"/>
  <c r="Q95" i="2"/>
  <c r="S62" i="2"/>
  <c r="Q62" i="2"/>
  <c r="S61" i="2"/>
  <c r="Q61" i="2"/>
  <c r="S59" i="2"/>
  <c r="Q59" i="2"/>
  <c r="S58" i="2"/>
  <c r="Q58" i="2"/>
  <c r="S57" i="2"/>
  <c r="Q57" i="2"/>
  <c r="S56" i="2"/>
  <c r="Q56" i="2"/>
  <c r="S55" i="2"/>
  <c r="Q55" i="2"/>
  <c r="S54" i="2"/>
  <c r="Q54" i="2"/>
  <c r="S53" i="2"/>
  <c r="Q53" i="2"/>
  <c r="S52" i="2"/>
  <c r="Q52" i="2"/>
  <c r="Q51" i="2"/>
  <c r="Q50" i="2"/>
  <c r="Q49" i="2"/>
  <c r="Q48" i="2"/>
  <c r="Q47" i="2"/>
  <c r="Q46" i="2"/>
  <c r="U29" i="2"/>
  <c r="U28" i="2"/>
  <c r="U27" i="2"/>
  <c r="U26" i="2"/>
  <c r="U25" i="2"/>
  <c r="U24" i="2"/>
  <c r="U23" i="2"/>
  <c r="U22" i="2"/>
  <c r="U21" i="2"/>
  <c r="U20" i="2"/>
  <c r="V100" i="2"/>
  <c r="V97" i="2"/>
  <c r="V99" i="2"/>
  <c r="V103" i="2"/>
  <c r="V101" i="2"/>
  <c r="R721" i="9" l="1"/>
  <c r="U721" i="9"/>
  <c r="B235" i="1"/>
  <c r="K233" i="1"/>
  <c r="W152" i="2" l="1"/>
  <c r="V152" i="2"/>
  <c r="W151" i="2"/>
  <c r="W150" i="2"/>
  <c r="W149" i="2"/>
  <c r="W63" i="2"/>
  <c r="W62" i="2"/>
  <c r="W61" i="2"/>
  <c r="H2425" i="9"/>
  <c r="H2426" i="9"/>
  <c r="H2427" i="9"/>
  <c r="H2428" i="9"/>
  <c r="H2429" i="9"/>
  <c r="H2430" i="9"/>
  <c r="H2431" i="9"/>
  <c r="H2432" i="9"/>
  <c r="H2424" i="9"/>
  <c r="I2374" i="9"/>
  <c r="I2375" i="9"/>
  <c r="I2376" i="9"/>
  <c r="I2377" i="9"/>
  <c r="I2380" i="9"/>
  <c r="I2381" i="9"/>
  <c r="I2382" i="9"/>
  <c r="I2384" i="9"/>
  <c r="I2385" i="9"/>
  <c r="I2386" i="9"/>
  <c r="I2373" i="9"/>
  <c r="L2420" i="9"/>
  <c r="K2420" i="9"/>
  <c r="L2390" i="9"/>
  <c r="A2395" i="9"/>
  <c r="A2396" i="9" s="1"/>
  <c r="A2397" i="9" s="1"/>
  <c r="A2398" i="9" s="1"/>
  <c r="A2399" i="9" s="1"/>
  <c r="A2400" i="9" s="1"/>
  <c r="A2401" i="9" s="1"/>
  <c r="A2402" i="9" s="1"/>
  <c r="A2403" i="9" s="1"/>
  <c r="A2404" i="9" s="1"/>
  <c r="A2405" i="9" s="1"/>
  <c r="A2406" i="9" s="1"/>
  <c r="A2407" i="9" s="1"/>
  <c r="A2408" i="9" s="1"/>
  <c r="A2409" i="9" s="1"/>
  <c r="A2410" i="9" s="1"/>
  <c r="A2411" i="9" s="1"/>
  <c r="A2412" i="9" s="1"/>
  <c r="A2413" i="9" s="1"/>
  <c r="A2414" i="9" s="1"/>
  <c r="A2415" i="9" s="1"/>
  <c r="A2416" i="9" s="1"/>
  <c r="A2417" i="9" s="1"/>
  <c r="A2418" i="9" s="1"/>
  <c r="K2390" i="9"/>
  <c r="L2369" i="9"/>
  <c r="A2374" i="9"/>
  <c r="A2375" i="9" s="1"/>
  <c r="A2376" i="9" s="1"/>
  <c r="A2377" i="9" s="1"/>
  <c r="A2378" i="9" s="1"/>
  <c r="A2379" i="9" s="1"/>
  <c r="A2380" i="9" s="1"/>
  <c r="A2381" i="9" s="1"/>
  <c r="A2382" i="9" s="1"/>
  <c r="A2383" i="9" s="1"/>
  <c r="A2384" i="9" s="1"/>
  <c r="A2385" i="9" s="1"/>
  <c r="A2386" i="9" s="1"/>
  <c r="A2387" i="9" s="1"/>
  <c r="A2388" i="9" s="1"/>
  <c r="K2369" i="9"/>
  <c r="J37" i="102" l="1"/>
  <c r="J27" i="102"/>
  <c r="K4" i="102"/>
  <c r="L2324" i="9"/>
  <c r="K2324" i="9"/>
  <c r="H9" i="6"/>
  <c r="D214" i="1" l="1"/>
  <c r="M11" i="2"/>
  <c r="P12" i="2"/>
  <c r="R186" i="2"/>
  <c r="R187" i="2"/>
  <c r="R188" i="2"/>
  <c r="R189" i="2"/>
  <c r="R190" i="2"/>
  <c r="R191" i="2"/>
  <c r="R192" i="2"/>
  <c r="R193" i="2"/>
  <c r="R194" i="2"/>
  <c r="R195" i="2"/>
  <c r="R196" i="2"/>
  <c r="R185" i="2"/>
  <c r="Q12" i="2" l="1"/>
  <c r="B57" i="6"/>
  <c r="B62" i="6" l="1"/>
  <c r="J27" i="6"/>
  <c r="D28" i="6"/>
  <c r="D130" i="6"/>
  <c r="D62" i="6"/>
  <c r="D137" i="6" l="1"/>
  <c r="D129" i="6"/>
  <c r="D133" i="6"/>
  <c r="D125" i="6"/>
  <c r="D56" i="6"/>
  <c r="D30" i="6"/>
  <c r="D21" i="6"/>
  <c r="I246" i="110" l="1"/>
  <c r="I261" i="110" s="1"/>
  <c r="I278" i="1" l="1"/>
  <c r="I292" i="1" s="1"/>
  <c r="AJ73" i="1" l="1"/>
  <c r="AJ74" i="1"/>
  <c r="AJ75" i="1"/>
  <c r="AJ72" i="1"/>
  <c r="M211" i="1" l="1"/>
  <c r="M209" i="1"/>
  <c r="L228" i="110" l="1"/>
  <c r="L260" i="1"/>
  <c r="A11" i="10" l="1"/>
  <c r="M40" i="4" l="1"/>
  <c r="M150" i="4"/>
  <c r="K956" i="9" l="1"/>
  <c r="L956" i="9"/>
  <c r="H8" i="1" l="1"/>
  <c r="I252" i="110" l="1"/>
  <c r="I260" i="110" s="1"/>
  <c r="I211" i="110"/>
  <c r="I210" i="110" s="1"/>
  <c r="G179" i="110"/>
  <c r="I121" i="110"/>
  <c r="G113" i="110"/>
  <c r="I115" i="110" s="1"/>
  <c r="I250" i="110"/>
  <c r="I249" i="110"/>
  <c r="I215" i="110"/>
  <c r="I214" i="110"/>
  <c r="I213" i="110"/>
  <c r="I186" i="110"/>
  <c r="I182" i="110"/>
  <c r="F10" i="110"/>
  <c r="F8" i="110"/>
  <c r="H8" i="110" s="1"/>
  <c r="E4" i="110"/>
  <c r="L269" i="110"/>
  <c r="K269" i="110"/>
  <c r="L241" i="110"/>
  <c r="K241" i="110"/>
  <c r="K228" i="110"/>
  <c r="AA213" i="110"/>
  <c r="AA212" i="110"/>
  <c r="AA211" i="110"/>
  <c r="D211" i="110"/>
  <c r="L205" i="110"/>
  <c r="K205" i="110"/>
  <c r="K201" i="110"/>
  <c r="L189" i="110"/>
  <c r="K189" i="110"/>
  <c r="L178" i="110"/>
  <c r="K178" i="110"/>
  <c r="L174" i="110"/>
  <c r="K174" i="110"/>
  <c r="B170" i="110"/>
  <c r="B169" i="110"/>
  <c r="B168" i="110"/>
  <c r="B167" i="110"/>
  <c r="B166" i="110"/>
  <c r="B165" i="110"/>
  <c r="B164" i="110"/>
  <c r="B163" i="110"/>
  <c r="D162" i="110"/>
  <c r="B162" i="110"/>
  <c r="D161" i="110"/>
  <c r="B161" i="110"/>
  <c r="D160" i="110"/>
  <c r="B160" i="110"/>
  <c r="D159" i="110"/>
  <c r="B159" i="110"/>
  <c r="D158" i="110"/>
  <c r="B158" i="110"/>
  <c r="D157" i="110"/>
  <c r="B157" i="110"/>
  <c r="D156" i="110"/>
  <c r="B156" i="110"/>
  <c r="D155" i="110"/>
  <c r="B155" i="110"/>
  <c r="D154" i="110"/>
  <c r="B154" i="110"/>
  <c r="D153" i="110"/>
  <c r="B153" i="110"/>
  <c r="D152" i="110"/>
  <c r="B152" i="110"/>
  <c r="D151" i="110"/>
  <c r="B151" i="110"/>
  <c r="D150" i="110"/>
  <c r="B150" i="110"/>
  <c r="D149" i="110"/>
  <c r="B149" i="110"/>
  <c r="L146" i="110"/>
  <c r="K146" i="110"/>
  <c r="B142" i="110"/>
  <c r="B141" i="110"/>
  <c r="B140" i="110"/>
  <c r="B139" i="110"/>
  <c r="B138" i="110"/>
  <c r="B137" i="110"/>
  <c r="D136" i="110"/>
  <c r="B136" i="110"/>
  <c r="D135" i="110"/>
  <c r="B135" i="110"/>
  <c r="D134" i="110"/>
  <c r="B134" i="110"/>
  <c r="D133" i="110"/>
  <c r="B133" i="110"/>
  <c r="D132" i="110"/>
  <c r="B132" i="110"/>
  <c r="D131" i="110"/>
  <c r="B131" i="110"/>
  <c r="L128" i="110"/>
  <c r="K128" i="110"/>
  <c r="L124" i="110"/>
  <c r="K124" i="110"/>
  <c r="I120" i="110"/>
  <c r="I118" i="110"/>
  <c r="L112" i="110"/>
  <c r="K112" i="110"/>
  <c r="L109" i="110"/>
  <c r="K109" i="110"/>
  <c r="I101" i="110"/>
  <c r="H95" i="110"/>
  <c r="H91" i="110"/>
  <c r="H72" i="110"/>
  <c r="H73" i="110" s="1"/>
  <c r="H74" i="110" s="1"/>
  <c r="H75" i="110" s="1"/>
  <c r="H62" i="110"/>
  <c r="H63" i="110" s="1"/>
  <c r="H66" i="110" s="1"/>
  <c r="H67" i="110" s="1"/>
  <c r="H68" i="110" s="1"/>
  <c r="L29" i="110"/>
  <c r="L28" i="110"/>
  <c r="L27" i="110"/>
  <c r="L26" i="110"/>
  <c r="L25" i="110"/>
  <c r="L24" i="110"/>
  <c r="L23" i="110"/>
  <c r="L22" i="110"/>
  <c r="L21" i="110"/>
  <c r="L20" i="110"/>
  <c r="L19" i="110"/>
  <c r="H19" i="110"/>
  <c r="H20" i="110" s="1"/>
  <c r="H21" i="110" s="1"/>
  <c r="H22" i="110" s="1"/>
  <c r="H23" i="110" s="1"/>
  <c r="H24" i="110" s="1"/>
  <c r="H25" i="110" s="1"/>
  <c r="H26" i="110" s="1"/>
  <c r="H27" i="110" s="1"/>
  <c r="H28" i="110" s="1"/>
  <c r="H29" i="110" s="1"/>
  <c r="H32" i="110" s="1"/>
  <c r="H33" i="110" s="1"/>
  <c r="H34" i="110" s="1"/>
  <c r="H35" i="110" s="1"/>
  <c r="H36" i="110" s="1"/>
  <c r="H37" i="110" s="1"/>
  <c r="H40" i="110" s="1"/>
  <c r="H41" i="110" s="1"/>
  <c r="H45" i="110" s="1"/>
  <c r="H46" i="110" s="1"/>
  <c r="H47" i="110" s="1"/>
  <c r="H48" i="110" s="1"/>
  <c r="H49" i="110" s="1"/>
  <c r="H50" i="110" s="1"/>
  <c r="H51" i="110" s="1"/>
  <c r="H52" i="110" s="1"/>
  <c r="H55" i="110" s="1"/>
  <c r="H56" i="110" s="1"/>
  <c r="H57" i="110" s="1"/>
  <c r="H58" i="110" s="1"/>
  <c r="L18" i="110"/>
  <c r="L14" i="110"/>
  <c r="K14" i="110"/>
  <c r="L6" i="110"/>
  <c r="K6" i="110"/>
  <c r="K3" i="110"/>
  <c r="K2" i="110"/>
  <c r="I247" i="110" l="1"/>
  <c r="I264" i="110" s="1"/>
  <c r="I180" i="110"/>
  <c r="I185" i="110"/>
  <c r="I181" i="110"/>
  <c r="I184" i="110"/>
  <c r="I119" i="110"/>
  <c r="I117" i="110"/>
  <c r="I102" i="110"/>
  <c r="I105" i="110" s="1"/>
  <c r="F54" i="10"/>
  <c r="B32" i="6" l="1"/>
  <c r="K4" i="6" l="1"/>
  <c r="M234" i="4" l="1"/>
  <c r="M212" i="4"/>
  <c r="M190" i="4"/>
  <c r="M168" i="4"/>
  <c r="M146" i="4"/>
  <c r="M124" i="4"/>
  <c r="M102" i="4"/>
  <c r="M80" i="4"/>
  <c r="M58" i="4"/>
  <c r="D23" i="6"/>
  <c r="D18" i="6"/>
  <c r="D17" i="6"/>
  <c r="J3" i="6" l="1"/>
  <c r="J2" i="6"/>
  <c r="J4" i="6"/>
  <c r="B3" i="6"/>
  <c r="Q132" i="3"/>
  <c r="K33" i="10" l="1"/>
  <c r="K53" i="10"/>
  <c r="K25" i="10"/>
  <c r="K37" i="10"/>
  <c r="K47" i="10"/>
  <c r="K58" i="10"/>
  <c r="K63" i="10"/>
  <c r="J70" i="10"/>
  <c r="K81" i="10"/>
  <c r="K70" i="10"/>
  <c r="K85" i="10"/>
  <c r="J85" i="10"/>
  <c r="J81" i="10"/>
  <c r="J63" i="10"/>
  <c r="J58" i="10"/>
  <c r="J53" i="10"/>
  <c r="J47" i="10"/>
  <c r="J37" i="10"/>
  <c r="J33" i="10"/>
  <c r="J25" i="10"/>
  <c r="K11" i="10"/>
  <c r="J11" i="10"/>
  <c r="C3" i="102" l="1"/>
  <c r="D3" i="3"/>
  <c r="M131" i="2"/>
  <c r="M92" i="2"/>
  <c r="M43" i="2"/>
  <c r="E250" i="4"/>
  <c r="J250" i="4" s="1"/>
  <c r="E228" i="4"/>
  <c r="J228" i="4" s="1"/>
  <c r="E206" i="4"/>
  <c r="J206" i="4" s="1"/>
  <c r="E184" i="4"/>
  <c r="E162" i="4"/>
  <c r="V126" i="4"/>
  <c r="U126" i="4"/>
  <c r="E140" i="4"/>
  <c r="E118" i="4"/>
  <c r="E96" i="4"/>
  <c r="J96" i="4" s="1"/>
  <c r="E74" i="4"/>
  <c r="J74" i="4" s="1"/>
  <c r="N36" i="4"/>
  <c r="J115" i="6"/>
  <c r="K115" i="6"/>
  <c r="AA74" i="4" l="1"/>
  <c r="T74" i="4"/>
  <c r="AA206" i="4"/>
  <c r="V206" i="4"/>
  <c r="U206" i="4"/>
  <c r="T206" i="4"/>
  <c r="AA96" i="4"/>
  <c r="T96" i="4"/>
  <c r="AA250" i="4"/>
  <c r="V250" i="4"/>
  <c r="U250" i="4"/>
  <c r="T250" i="4"/>
  <c r="AA228" i="4"/>
  <c r="U228" i="4"/>
  <c r="V228" i="4"/>
  <c r="T228" i="4"/>
  <c r="T126" i="4"/>
  <c r="T104" i="4"/>
  <c r="J158" i="4"/>
  <c r="J154" i="4"/>
  <c r="J150" i="4"/>
  <c r="J159" i="4"/>
  <c r="J161" i="4"/>
  <c r="J157" i="4"/>
  <c r="J153" i="4"/>
  <c r="J155" i="4"/>
  <c r="J160" i="4"/>
  <c r="J156" i="4"/>
  <c r="J152" i="4"/>
  <c r="J151" i="4"/>
  <c r="J202" i="4"/>
  <c r="J198" i="4"/>
  <c r="J194" i="4"/>
  <c r="J205" i="4"/>
  <c r="J201" i="4"/>
  <c r="J197" i="4"/>
  <c r="J203" i="4"/>
  <c r="J195" i="4"/>
  <c r="J204" i="4"/>
  <c r="J200" i="4"/>
  <c r="J196" i="4"/>
  <c r="J199" i="4"/>
  <c r="J246" i="4"/>
  <c r="J242" i="4"/>
  <c r="J238" i="4"/>
  <c r="J243" i="4"/>
  <c r="J249" i="4"/>
  <c r="J245" i="4"/>
  <c r="J241" i="4"/>
  <c r="J247" i="4"/>
  <c r="J248" i="4"/>
  <c r="J244" i="4"/>
  <c r="J240" i="4"/>
  <c r="J239" i="4"/>
  <c r="J92" i="4"/>
  <c r="J88" i="4"/>
  <c r="J84" i="4"/>
  <c r="J93" i="4"/>
  <c r="J95" i="4"/>
  <c r="J91" i="4"/>
  <c r="J87" i="4"/>
  <c r="J85" i="4"/>
  <c r="J94" i="4"/>
  <c r="J90" i="4"/>
  <c r="J86" i="4"/>
  <c r="J89" i="4"/>
  <c r="J180" i="4"/>
  <c r="J176" i="4"/>
  <c r="J172" i="4"/>
  <c r="J181" i="4"/>
  <c r="J183" i="4"/>
  <c r="J179" i="4"/>
  <c r="J175" i="4"/>
  <c r="J173" i="4"/>
  <c r="J182" i="4"/>
  <c r="J178" i="4"/>
  <c r="J174" i="4"/>
  <c r="J177" i="4"/>
  <c r="J224" i="4"/>
  <c r="J220" i="4"/>
  <c r="J216" i="4"/>
  <c r="J217" i="4"/>
  <c r="J227" i="4"/>
  <c r="J223" i="4"/>
  <c r="J219" i="4"/>
  <c r="J225" i="4"/>
  <c r="J226" i="4"/>
  <c r="J222" i="4"/>
  <c r="J218" i="4"/>
  <c r="J221" i="4"/>
  <c r="J139" i="4"/>
  <c r="J135" i="4"/>
  <c r="J131" i="4"/>
  <c r="J130" i="4"/>
  <c r="J128" i="4"/>
  <c r="J138" i="4"/>
  <c r="J134" i="4"/>
  <c r="J132" i="4"/>
  <c r="J137" i="4"/>
  <c r="J133" i="4"/>
  <c r="J129" i="4"/>
  <c r="J136" i="4"/>
  <c r="J72" i="4"/>
  <c r="J68" i="4"/>
  <c r="J64" i="4"/>
  <c r="J70" i="4"/>
  <c r="J66" i="4"/>
  <c r="J62" i="4"/>
  <c r="J73" i="4"/>
  <c r="J65" i="4"/>
  <c r="J71" i="4"/>
  <c r="J67" i="4"/>
  <c r="J63" i="4"/>
  <c r="J69" i="4"/>
  <c r="K63" i="6"/>
  <c r="Q4" i="3"/>
  <c r="Q91" i="3"/>
  <c r="R36" i="3"/>
  <c r="Q36" i="3"/>
  <c r="K143" i="6" l="1"/>
  <c r="K123" i="6"/>
  <c r="J123" i="6"/>
  <c r="K27" i="6"/>
  <c r="K59" i="6"/>
  <c r="K117" i="6"/>
  <c r="J117" i="6"/>
  <c r="K198" i="6"/>
  <c r="J198" i="6"/>
  <c r="M36" i="4" l="1"/>
  <c r="L189" i="1" l="1"/>
  <c r="L178" i="1"/>
  <c r="L174" i="1"/>
  <c r="L146" i="1"/>
  <c r="L128" i="1"/>
  <c r="L124" i="1"/>
  <c r="L112" i="1"/>
  <c r="L109" i="1"/>
  <c r="L6" i="1"/>
  <c r="I115" i="1"/>
  <c r="AA132" i="3" l="1"/>
  <c r="M183" i="4" l="1"/>
  <c r="M182" i="4"/>
  <c r="M181" i="4"/>
  <c r="M180" i="4"/>
  <c r="M179" i="4"/>
  <c r="M178" i="4"/>
  <c r="M177" i="4"/>
  <c r="M175" i="4"/>
  <c r="M174" i="4"/>
  <c r="M173" i="4"/>
  <c r="M172" i="4"/>
  <c r="M249" i="4"/>
  <c r="M248" i="4"/>
  <c r="M247" i="4"/>
  <c r="M246" i="4"/>
  <c r="M245" i="4"/>
  <c r="M244" i="4"/>
  <c r="M243" i="4"/>
  <c r="M242" i="4"/>
  <c r="M241" i="4"/>
  <c r="M240" i="4"/>
  <c r="M239" i="4"/>
  <c r="M238" i="4"/>
  <c r="J237" i="4"/>
  <c r="M227" i="4"/>
  <c r="M226" i="4"/>
  <c r="M225" i="4"/>
  <c r="M224" i="4"/>
  <c r="M223" i="4"/>
  <c r="M222" i="4"/>
  <c r="M221" i="4"/>
  <c r="M220" i="4"/>
  <c r="M219" i="4"/>
  <c r="M218" i="4"/>
  <c r="M217" i="4"/>
  <c r="M216" i="4"/>
  <c r="J215" i="4"/>
  <c r="M205" i="4"/>
  <c r="M204" i="4"/>
  <c r="M203" i="4"/>
  <c r="M202" i="4"/>
  <c r="M201" i="4"/>
  <c r="M200" i="4"/>
  <c r="M199" i="4"/>
  <c r="M198" i="4"/>
  <c r="M197" i="4"/>
  <c r="M196" i="4"/>
  <c r="M195" i="4"/>
  <c r="M194" i="4"/>
  <c r="J193" i="4"/>
  <c r="M161" i="4"/>
  <c r="M160" i="4"/>
  <c r="M159" i="4"/>
  <c r="M158" i="4"/>
  <c r="M157" i="4"/>
  <c r="M156" i="4"/>
  <c r="M155" i="4"/>
  <c r="M153" i="4"/>
  <c r="M152" i="4"/>
  <c r="M139" i="4"/>
  <c r="M138" i="4"/>
  <c r="M137" i="4"/>
  <c r="M136" i="4"/>
  <c r="M135" i="4"/>
  <c r="M133" i="4"/>
  <c r="M132" i="4"/>
  <c r="M131" i="4"/>
  <c r="M130" i="4"/>
  <c r="M129" i="4"/>
  <c r="M128" i="4"/>
  <c r="M117" i="4"/>
  <c r="M116" i="4"/>
  <c r="M115" i="4"/>
  <c r="M114" i="4"/>
  <c r="M113" i="4"/>
  <c r="M112" i="4"/>
  <c r="M111" i="4"/>
  <c r="M110" i="4"/>
  <c r="M109" i="4"/>
  <c r="M108" i="4"/>
  <c r="M107" i="4"/>
  <c r="M106" i="4"/>
  <c r="M95" i="4"/>
  <c r="M94" i="4"/>
  <c r="M93" i="4"/>
  <c r="M92" i="4"/>
  <c r="M91" i="4"/>
  <c r="M90" i="4"/>
  <c r="M89" i="4"/>
  <c r="M88" i="4"/>
  <c r="M87" i="4"/>
  <c r="M86" i="4"/>
  <c r="M85" i="4"/>
  <c r="M84" i="4"/>
  <c r="J83" i="4"/>
  <c r="M73" i="4"/>
  <c r="M72" i="4"/>
  <c r="M71" i="4"/>
  <c r="M70" i="4"/>
  <c r="M69" i="4"/>
  <c r="M68" i="4"/>
  <c r="M67" i="4"/>
  <c r="M66" i="4"/>
  <c r="M63" i="4"/>
  <c r="M62" i="4"/>
  <c r="J61" i="4"/>
  <c r="AA83" i="4" l="1"/>
  <c r="T83" i="4"/>
  <c r="AA215" i="4"/>
  <c r="U215" i="4"/>
  <c r="V215" i="4"/>
  <c r="T215" i="4"/>
  <c r="AA237" i="4"/>
  <c r="U237" i="4"/>
  <c r="V237" i="4"/>
  <c r="T237" i="4"/>
  <c r="AA193" i="4"/>
  <c r="V193" i="4"/>
  <c r="U193" i="4"/>
  <c r="T193" i="4"/>
  <c r="AA61" i="4"/>
  <c r="T61" i="4"/>
  <c r="F119" i="4"/>
  <c r="F97" i="4"/>
  <c r="F251" i="4"/>
  <c r="F229" i="4"/>
  <c r="F207" i="4"/>
  <c r="K119" i="4"/>
  <c r="K120" i="4"/>
  <c r="B120" i="4"/>
  <c r="H120" i="4"/>
  <c r="B121" i="4"/>
  <c r="H121" i="4"/>
  <c r="H122" i="4"/>
  <c r="B122" i="4"/>
  <c r="B210" i="4"/>
  <c r="AN208" i="4"/>
  <c r="AN209" i="4"/>
  <c r="K208" i="4"/>
  <c r="AN210" i="4"/>
  <c r="H209" i="4"/>
  <c r="B208" i="4"/>
  <c r="B209" i="4"/>
  <c r="K207" i="4"/>
  <c r="H208" i="4"/>
  <c r="H210" i="4"/>
  <c r="AN98" i="4"/>
  <c r="B98" i="4"/>
  <c r="AN100" i="4"/>
  <c r="K97" i="4"/>
  <c r="AN99" i="4"/>
  <c r="H98" i="4"/>
  <c r="B100" i="4"/>
  <c r="H100" i="4"/>
  <c r="K98" i="4"/>
  <c r="H99" i="4"/>
  <c r="B99" i="4"/>
  <c r="AN231" i="4"/>
  <c r="AN230" i="4"/>
  <c r="AN232" i="4"/>
  <c r="B230" i="4"/>
  <c r="B231" i="4"/>
  <c r="H231" i="4"/>
  <c r="H232" i="4"/>
  <c r="B232" i="4"/>
  <c r="K229" i="4"/>
  <c r="H230" i="4"/>
  <c r="K230" i="4"/>
  <c r="AN121" i="4"/>
  <c r="AN122" i="4"/>
  <c r="AN120" i="4"/>
  <c r="AN254" i="4"/>
  <c r="AN253" i="4"/>
  <c r="AN252" i="4"/>
  <c r="B254" i="4"/>
  <c r="K251" i="4"/>
  <c r="H252" i="4"/>
  <c r="K252" i="4"/>
  <c r="B252" i="4"/>
  <c r="B253" i="4"/>
  <c r="H253" i="4"/>
  <c r="H254" i="4"/>
  <c r="L2311" i="9" l="1"/>
  <c r="K2311" i="9"/>
  <c r="N234" i="4" l="1"/>
  <c r="N212" i="4"/>
  <c r="N190" i="4"/>
  <c r="N168" i="4"/>
  <c r="N146" i="4"/>
  <c r="N124" i="4"/>
  <c r="N102" i="4"/>
  <c r="N58" i="4"/>
  <c r="N80" i="4"/>
  <c r="L168" i="4"/>
  <c r="M41" i="4"/>
  <c r="M43" i="4"/>
  <c r="M46" i="4"/>
  <c r="M48" i="4"/>
  <c r="M49" i="4"/>
  <c r="M50" i="4"/>
  <c r="M51" i="4"/>
  <c r="F73" i="10"/>
  <c r="E81" i="1" l="1"/>
  <c r="K37" i="102"/>
  <c r="K27" i="102"/>
  <c r="D42" i="102" l="1"/>
  <c r="D41" i="102"/>
  <c r="D40" i="102"/>
  <c r="D39" i="102"/>
  <c r="D30" i="102"/>
  <c r="D29" i="102"/>
  <c r="D28" i="102"/>
  <c r="R130" i="3" l="1"/>
  <c r="W31" i="2"/>
  <c r="W30" i="2"/>
  <c r="B164" i="3"/>
  <c r="B165" i="3"/>
  <c r="B166" i="3"/>
  <c r="B167" i="3"/>
  <c r="B168" i="3"/>
  <c r="B163" i="3"/>
  <c r="W106" i="2" l="1"/>
  <c r="W107" i="2"/>
  <c r="K260" i="1"/>
  <c r="W148" i="2" l="1"/>
  <c r="W60" i="2"/>
  <c r="AD8" i="1"/>
  <c r="V149" i="2" l="1"/>
  <c r="V148" i="2"/>
  <c r="V107" i="2"/>
  <c r="V106" i="2"/>
  <c r="V60" i="2"/>
  <c r="H11" i="6" l="1"/>
  <c r="D4" i="6" s="1"/>
  <c r="J15" i="6" l="1"/>
  <c r="J55" i="6"/>
  <c r="J59" i="6"/>
  <c r="J63" i="6"/>
  <c r="J143" i="6"/>
  <c r="J155" i="6"/>
  <c r="K2289" i="9"/>
  <c r="L2289" i="9"/>
  <c r="L2277" i="9"/>
  <c r="L2259" i="9"/>
  <c r="K2259" i="9"/>
  <c r="K2277" i="9"/>
  <c r="A161" i="3"/>
  <c r="A145" i="3"/>
  <c r="B142" i="1" l="1"/>
  <c r="B141" i="1"/>
  <c r="B140" i="1"/>
  <c r="L2269" i="9"/>
  <c r="K2269" i="9"/>
  <c r="L2235" i="9"/>
  <c r="I279" i="1"/>
  <c r="I296" i="1" s="1"/>
  <c r="K1569" i="9" l="1"/>
  <c r="K1602" i="9"/>
  <c r="K2235" i="9"/>
  <c r="L1543" i="9"/>
  <c r="K1340" i="9"/>
  <c r="L1197" i="9"/>
  <c r="K1543" i="9"/>
  <c r="L1340" i="9"/>
  <c r="K1197" i="9"/>
  <c r="L992" i="9"/>
  <c r="AF258" i="4" l="1"/>
  <c r="AG258" i="4"/>
  <c r="AH258" i="4"/>
  <c r="AI258" i="4"/>
  <c r="AJ258" i="4"/>
  <c r="AK258" i="4"/>
  <c r="AL258" i="4"/>
  <c r="AM258" i="4"/>
  <c r="AN258" i="4"/>
  <c r="AO258" i="4"/>
  <c r="AF259" i="4"/>
  <c r="AG259" i="4"/>
  <c r="AH259" i="4"/>
  <c r="AI259" i="4"/>
  <c r="AJ259" i="4"/>
  <c r="AK259" i="4"/>
  <c r="AL259" i="4"/>
  <c r="AM259" i="4"/>
  <c r="AN259" i="4"/>
  <c r="AO259" i="4"/>
  <c r="AF260" i="4"/>
  <c r="AG260" i="4"/>
  <c r="AH260" i="4"/>
  <c r="AI260" i="4"/>
  <c r="AJ260" i="4"/>
  <c r="AK260" i="4"/>
  <c r="AL260" i="4"/>
  <c r="AM260" i="4"/>
  <c r="AN260" i="4"/>
  <c r="AO260" i="4"/>
  <c r="AF261" i="4"/>
  <c r="AG261" i="4"/>
  <c r="AH261" i="4"/>
  <c r="AI261" i="4"/>
  <c r="AJ261" i="4"/>
  <c r="AK261" i="4"/>
  <c r="AL261" i="4"/>
  <c r="AM261" i="4"/>
  <c r="AN261" i="4"/>
  <c r="AO261" i="4"/>
  <c r="AF262" i="4"/>
  <c r="AG262" i="4"/>
  <c r="AH262" i="4"/>
  <c r="AI262" i="4"/>
  <c r="AJ262" i="4"/>
  <c r="AK262" i="4"/>
  <c r="AL262" i="4"/>
  <c r="AM262" i="4"/>
  <c r="AN262" i="4"/>
  <c r="AO262" i="4"/>
  <c r="AF263" i="4"/>
  <c r="AG263" i="4"/>
  <c r="AH263" i="4"/>
  <c r="AI263" i="4"/>
  <c r="AJ263" i="4"/>
  <c r="AK263" i="4"/>
  <c r="AL263" i="4"/>
  <c r="AM263" i="4"/>
  <c r="AN263" i="4"/>
  <c r="AO263" i="4"/>
  <c r="AF264" i="4"/>
  <c r="AG264" i="4"/>
  <c r="AH264" i="4"/>
  <c r="AI264" i="4"/>
  <c r="AJ264" i="4"/>
  <c r="AK264" i="4"/>
  <c r="AL264" i="4"/>
  <c r="AM264" i="4"/>
  <c r="AN264" i="4"/>
  <c r="AO264" i="4"/>
  <c r="AF265" i="4"/>
  <c r="AG265" i="4"/>
  <c r="AH265" i="4"/>
  <c r="AI265" i="4"/>
  <c r="AJ265" i="4"/>
  <c r="AK265" i="4"/>
  <c r="AL265" i="4"/>
  <c r="AM265" i="4"/>
  <c r="AN265" i="4"/>
  <c r="AO265" i="4"/>
  <c r="AF266" i="4"/>
  <c r="AG266" i="4"/>
  <c r="AH266" i="4"/>
  <c r="AI266" i="4"/>
  <c r="AJ266" i="4"/>
  <c r="AK266" i="4"/>
  <c r="AL266" i="4"/>
  <c r="AM266" i="4"/>
  <c r="AN266" i="4"/>
  <c r="AO266" i="4"/>
  <c r="AG257" i="4"/>
  <c r="AH257" i="4"/>
  <c r="AI257" i="4"/>
  <c r="AJ257" i="4"/>
  <c r="AK257" i="4"/>
  <c r="AL257" i="4"/>
  <c r="AM257" i="4"/>
  <c r="AN257" i="4"/>
  <c r="AO257" i="4"/>
  <c r="AF257" i="4"/>
  <c r="D138" i="6"/>
  <c r="F27" i="10"/>
  <c r="F30" i="10"/>
  <c r="F29" i="10"/>
  <c r="F26" i="10"/>
  <c r="F31" i="10"/>
  <c r="E12" i="10"/>
  <c r="F28" i="10"/>
  <c r="AF276" i="4" l="1"/>
  <c r="AF274" i="4"/>
  <c r="AF272" i="4"/>
  <c r="AF277" i="4"/>
  <c r="AF275" i="4"/>
  <c r="AF273" i="4"/>
  <c r="AF271" i="4"/>
  <c r="AF269" i="4"/>
  <c r="AF270" i="4"/>
  <c r="AF268" i="4"/>
  <c r="R111" i="2"/>
  <c r="R110" i="2"/>
  <c r="R109" i="2"/>
  <c r="J51" i="4" l="1"/>
  <c r="J47" i="4"/>
  <c r="J43" i="4"/>
  <c r="J50" i="4"/>
  <c r="J46" i="4"/>
  <c r="J42" i="4"/>
  <c r="J49" i="4"/>
  <c r="J45" i="4"/>
  <c r="J41" i="4"/>
  <c r="J48" i="4"/>
  <c r="J44" i="4"/>
  <c r="J40" i="4"/>
  <c r="L1602" i="9"/>
  <c r="L1569" i="9"/>
  <c r="L301" i="1" l="1"/>
  <c r="K301" i="1"/>
  <c r="I121" i="1" l="1"/>
  <c r="I120" i="1"/>
  <c r="S571" i="9" l="1"/>
  <c r="S590" i="9"/>
  <c r="S673" i="9"/>
  <c r="S678" i="9"/>
  <c r="S704" i="9"/>
  <c r="S722" i="9"/>
  <c r="S751" i="9"/>
  <c r="S468" i="9"/>
  <c r="R750" i="9"/>
  <c r="U750" i="9"/>
  <c r="R672" i="9"/>
  <c r="U672" i="9"/>
  <c r="R651" i="9"/>
  <c r="U651" i="9"/>
  <c r="R570" i="9"/>
  <c r="U570" i="9"/>
  <c r="R509" i="9"/>
  <c r="U509" i="9"/>
  <c r="R510" i="9"/>
  <c r="U510" i="9"/>
  <c r="R534" i="9"/>
  <c r="U534" i="9"/>
  <c r="R488" i="9"/>
  <c r="U488" i="9"/>
  <c r="H723" i="9"/>
  <c r="H724" i="9" s="1"/>
  <c r="H725" i="9" s="1"/>
  <c r="H726" i="9" s="1"/>
  <c r="H727" i="9" s="1"/>
  <c r="H728" i="9" s="1"/>
  <c r="H729" i="9" s="1"/>
  <c r="H730" i="9" s="1"/>
  <c r="H731" i="9" s="1"/>
  <c r="H732" i="9" s="1"/>
  <c r="H733" i="9" s="1"/>
  <c r="H734" i="9" s="1"/>
  <c r="H735" i="9" s="1"/>
  <c r="H736" i="9" s="1"/>
  <c r="H737" i="9" s="1"/>
  <c r="H738" i="9" s="1"/>
  <c r="H739" i="9" s="1"/>
  <c r="H740" i="9" s="1"/>
  <c r="H741" i="9" s="1"/>
  <c r="H742" i="9" s="1"/>
  <c r="H743" i="9" s="1"/>
  <c r="H744" i="9" s="1"/>
  <c r="H745" i="9" s="1"/>
  <c r="H746" i="9" s="1"/>
  <c r="H747" i="9" s="1"/>
  <c r="H748" i="9" s="1"/>
  <c r="H749" i="9" s="1"/>
  <c r="H750" i="9" s="1"/>
  <c r="G723" i="9"/>
  <c r="G724" i="9" s="1"/>
  <c r="G725" i="9" s="1"/>
  <c r="G726" i="9" s="1"/>
  <c r="G727" i="9" s="1"/>
  <c r="G728" i="9" s="1"/>
  <c r="G729" i="9" s="1"/>
  <c r="G730" i="9" s="1"/>
  <c r="G731" i="9" s="1"/>
  <c r="H705" i="9"/>
  <c r="H706" i="9" s="1"/>
  <c r="H707" i="9" s="1"/>
  <c r="H708" i="9" s="1"/>
  <c r="H709" i="9" s="1"/>
  <c r="H710" i="9" s="1"/>
  <c r="H711" i="9" s="1"/>
  <c r="H712" i="9" s="1"/>
  <c r="H713" i="9" s="1"/>
  <c r="H714" i="9" s="1"/>
  <c r="H715" i="9" s="1"/>
  <c r="H716" i="9" s="1"/>
  <c r="H717" i="9" s="1"/>
  <c r="H718" i="9" s="1"/>
  <c r="H719" i="9" s="1"/>
  <c r="H720" i="9" s="1"/>
  <c r="H721" i="9" s="1"/>
  <c r="H679" i="9"/>
  <c r="H680" i="9" s="1"/>
  <c r="H681" i="9" s="1"/>
  <c r="H682" i="9" s="1"/>
  <c r="H683" i="9" s="1"/>
  <c r="H684" i="9" s="1"/>
  <c r="H685" i="9" s="1"/>
  <c r="H686" i="9" s="1"/>
  <c r="H687" i="9" s="1"/>
  <c r="H688" i="9" s="1"/>
  <c r="H689" i="9" s="1"/>
  <c r="H690" i="9" s="1"/>
  <c r="H691" i="9" s="1"/>
  <c r="H692" i="9" s="1"/>
  <c r="H693" i="9" s="1"/>
  <c r="H694" i="9" s="1"/>
  <c r="H695" i="9" s="1"/>
  <c r="H696" i="9" s="1"/>
  <c r="H697" i="9" s="1"/>
  <c r="H698" i="9" s="1"/>
  <c r="H699" i="9" s="1"/>
  <c r="H700" i="9" s="1"/>
  <c r="H701" i="9" s="1"/>
  <c r="H702" i="9" s="1"/>
  <c r="H703" i="9" s="1"/>
  <c r="G679" i="9"/>
  <c r="G680" i="9" s="1"/>
  <c r="G681" i="9" s="1"/>
  <c r="G682" i="9" s="1"/>
  <c r="G684" i="9" s="1"/>
  <c r="D674" i="9"/>
  <c r="H674" i="9"/>
  <c r="H675" i="9" s="1"/>
  <c r="H676" i="9" s="1"/>
  <c r="H677" i="9" s="1"/>
  <c r="H653" i="9"/>
  <c r="H654" i="9" s="1"/>
  <c r="H655" i="9" s="1"/>
  <c r="H656" i="9" s="1"/>
  <c r="H657" i="9" s="1"/>
  <c r="H658" i="9" s="1"/>
  <c r="H659" i="9" s="1"/>
  <c r="H660" i="9" s="1"/>
  <c r="H661" i="9" s="1"/>
  <c r="H662" i="9" s="1"/>
  <c r="H663" i="9" s="1"/>
  <c r="H664" i="9" s="1"/>
  <c r="H665" i="9" s="1"/>
  <c r="H666" i="9" s="1"/>
  <c r="H667" i="9" s="1"/>
  <c r="H668" i="9" s="1"/>
  <c r="H669" i="9" s="1"/>
  <c r="H670" i="9" s="1"/>
  <c r="H671" i="9" s="1"/>
  <c r="H672" i="9" s="1"/>
  <c r="G653" i="9"/>
  <c r="G654" i="9" s="1"/>
  <c r="G655" i="9" s="1"/>
  <c r="G656" i="9" s="1"/>
  <c r="G657" i="9" s="1"/>
  <c r="G658" i="9" s="1"/>
  <c r="G659" i="9" s="1"/>
  <c r="H632" i="9"/>
  <c r="H633" i="9" s="1"/>
  <c r="H634" i="9" s="1"/>
  <c r="H635" i="9" s="1"/>
  <c r="H636" i="9" s="1"/>
  <c r="H637" i="9" s="1"/>
  <c r="H638" i="9" s="1"/>
  <c r="H639" i="9" s="1"/>
  <c r="H640" i="9" s="1"/>
  <c r="H641" i="9" s="1"/>
  <c r="H642" i="9" s="1"/>
  <c r="H643" i="9" s="1"/>
  <c r="H644" i="9" s="1"/>
  <c r="H645" i="9" s="1"/>
  <c r="H646" i="9" s="1"/>
  <c r="H647" i="9" s="1"/>
  <c r="H648" i="9" s="1"/>
  <c r="H649" i="9" s="1"/>
  <c r="H650" i="9" s="1"/>
  <c r="H651" i="9" s="1"/>
  <c r="G632" i="9"/>
  <c r="G633" i="9" s="1"/>
  <c r="G634" i="9" s="1"/>
  <c r="G635" i="9" s="1"/>
  <c r="G636" i="9" s="1"/>
  <c r="G637" i="9" s="1"/>
  <c r="G638" i="9" s="1"/>
  <c r="G639" i="9" s="1"/>
  <c r="G591" i="9"/>
  <c r="G592" i="9" s="1"/>
  <c r="G593" i="9" s="1"/>
  <c r="G594" i="9" s="1"/>
  <c r="G595" i="9" s="1"/>
  <c r="G596" i="9" s="1"/>
  <c r="G597" i="9" s="1"/>
  <c r="H591" i="9"/>
  <c r="H592" i="9" s="1"/>
  <c r="H593" i="9" s="1"/>
  <c r="H594" i="9" s="1"/>
  <c r="H595" i="9" s="1"/>
  <c r="H596" i="9" s="1"/>
  <c r="H597" i="9" s="1"/>
  <c r="H598" i="9" s="1"/>
  <c r="H599" i="9" s="1"/>
  <c r="H600" i="9" s="1"/>
  <c r="H601" i="9" s="1"/>
  <c r="H602" i="9" s="1"/>
  <c r="H603" i="9" s="1"/>
  <c r="H604" i="9" s="1"/>
  <c r="H605" i="9" s="1"/>
  <c r="H606" i="9" s="1"/>
  <c r="H607" i="9" s="1"/>
  <c r="H608" i="9" s="1"/>
  <c r="H609" i="9" s="1"/>
  <c r="H610" i="9" s="1"/>
  <c r="H611" i="9" s="1"/>
  <c r="H612" i="9" s="1"/>
  <c r="H613" i="9" s="1"/>
  <c r="H614" i="9" s="1"/>
  <c r="H615" i="9" s="1"/>
  <c r="H616" i="9" s="1"/>
  <c r="H617" i="9" s="1"/>
  <c r="H618" i="9" s="1"/>
  <c r="H619" i="9" s="1"/>
  <c r="H620" i="9" s="1"/>
  <c r="H621" i="9" s="1"/>
  <c r="H622" i="9" s="1"/>
  <c r="H623" i="9" s="1"/>
  <c r="H624" i="9" s="1"/>
  <c r="H625" i="9" s="1"/>
  <c r="H626" i="9" s="1"/>
  <c r="H627" i="9" s="1"/>
  <c r="H628" i="9" s="1"/>
  <c r="H629" i="9" s="1"/>
  <c r="H630" i="9" s="1"/>
  <c r="G572" i="9"/>
  <c r="H556" i="9"/>
  <c r="H557" i="9" s="1"/>
  <c r="H558" i="9" s="1"/>
  <c r="H559" i="9" s="1"/>
  <c r="H560" i="9" s="1"/>
  <c r="H561" i="9" s="1"/>
  <c r="H562" i="9" s="1"/>
  <c r="H563" i="9" s="1"/>
  <c r="H564" i="9" s="1"/>
  <c r="H565" i="9" s="1"/>
  <c r="H566" i="9" s="1"/>
  <c r="H567" i="9" s="1"/>
  <c r="H568" i="9" s="1"/>
  <c r="H569" i="9" s="1"/>
  <c r="H570" i="9" s="1"/>
  <c r="G556" i="9"/>
  <c r="G557" i="9" s="1"/>
  <c r="G558" i="9" s="1"/>
  <c r="G559" i="9" s="1"/>
  <c r="G560" i="9" s="1"/>
  <c r="G561" i="9" s="1"/>
  <c r="G562" i="9" s="1"/>
  <c r="R562" i="9" s="1"/>
  <c r="H535" i="9"/>
  <c r="H536" i="9" s="1"/>
  <c r="H537" i="9" s="1"/>
  <c r="H538" i="9" s="1"/>
  <c r="H539" i="9" s="1"/>
  <c r="H540" i="9" s="1"/>
  <c r="H541" i="9" s="1"/>
  <c r="H542" i="9" s="1"/>
  <c r="H543" i="9" s="1"/>
  <c r="H544" i="9" s="1"/>
  <c r="H545" i="9" s="1"/>
  <c r="H546" i="9" s="1"/>
  <c r="H547" i="9" s="1"/>
  <c r="H548" i="9" s="1"/>
  <c r="H549" i="9" s="1"/>
  <c r="H550" i="9" s="1"/>
  <c r="H551" i="9" s="1"/>
  <c r="H552" i="9" s="1"/>
  <c r="H553" i="9" s="1"/>
  <c r="H554" i="9" s="1"/>
  <c r="G535" i="9"/>
  <c r="G536" i="9" s="1"/>
  <c r="G537" i="9" s="1"/>
  <c r="G538" i="9" s="1"/>
  <c r="G539" i="9" s="1"/>
  <c r="G540" i="9" s="1"/>
  <c r="G541" i="9" s="1"/>
  <c r="R541" i="9" s="1"/>
  <c r="G511" i="9"/>
  <c r="U511" i="9" s="1"/>
  <c r="D511" i="9"/>
  <c r="H511" i="9"/>
  <c r="H512" i="9" s="1"/>
  <c r="H513" i="9" s="1"/>
  <c r="H514" i="9" s="1"/>
  <c r="H515" i="9" s="1"/>
  <c r="H516" i="9" s="1"/>
  <c r="H517" i="9" s="1"/>
  <c r="H518" i="9" s="1"/>
  <c r="H519" i="9" s="1"/>
  <c r="H520" i="9" s="1"/>
  <c r="H521" i="9" s="1"/>
  <c r="H522" i="9" s="1"/>
  <c r="H523" i="9" s="1"/>
  <c r="H524" i="9" s="1"/>
  <c r="H525" i="9" s="1"/>
  <c r="H526" i="9" s="1"/>
  <c r="H527" i="9" s="1"/>
  <c r="H528" i="9" s="1"/>
  <c r="H529" i="9" s="1"/>
  <c r="H530" i="9" s="1"/>
  <c r="H531" i="9" s="1"/>
  <c r="H532" i="9" s="1"/>
  <c r="H533" i="9" s="1"/>
  <c r="H490" i="9"/>
  <c r="H491" i="9" s="1"/>
  <c r="H492" i="9" s="1"/>
  <c r="H493" i="9" s="1"/>
  <c r="H494" i="9" s="1"/>
  <c r="H495" i="9" s="1"/>
  <c r="H496" i="9" s="1"/>
  <c r="H497" i="9" s="1"/>
  <c r="H498" i="9" s="1"/>
  <c r="H499" i="9" s="1"/>
  <c r="H500" i="9" s="1"/>
  <c r="H501" i="9" s="1"/>
  <c r="H502" i="9" s="1"/>
  <c r="H503" i="9" s="1"/>
  <c r="H504" i="9" s="1"/>
  <c r="H505" i="9" s="1"/>
  <c r="H506" i="9" s="1"/>
  <c r="H507" i="9" s="1"/>
  <c r="H508" i="9" s="1"/>
  <c r="H509" i="9" s="1"/>
  <c r="H469" i="9"/>
  <c r="H470" i="9" s="1"/>
  <c r="H471" i="9" s="1"/>
  <c r="H472" i="9" s="1"/>
  <c r="H473" i="9" s="1"/>
  <c r="H474" i="9" s="1"/>
  <c r="H475" i="9" s="1"/>
  <c r="H476" i="9" s="1"/>
  <c r="H477" i="9" s="1"/>
  <c r="H478" i="9" s="1"/>
  <c r="H479" i="9" s="1"/>
  <c r="H480" i="9" s="1"/>
  <c r="H481" i="9" s="1"/>
  <c r="H482" i="9" s="1"/>
  <c r="H483" i="9" s="1"/>
  <c r="H484" i="9" s="1"/>
  <c r="H485" i="9" s="1"/>
  <c r="H486" i="9" s="1"/>
  <c r="H487" i="9" s="1"/>
  <c r="H488" i="9" s="1"/>
  <c r="U508" i="9"/>
  <c r="G474" i="9"/>
  <c r="U474" i="9" s="1"/>
  <c r="D512" i="9" l="1"/>
  <c r="D531" i="9"/>
  <c r="P534" i="9"/>
  <c r="R502" i="9"/>
  <c r="U539" i="9"/>
  <c r="R500" i="9"/>
  <c r="R538" i="9"/>
  <c r="U506" i="9"/>
  <c r="U498" i="9"/>
  <c r="R536" i="9"/>
  <c r="R505" i="9"/>
  <c r="P672" i="9"/>
  <c r="U537" i="9"/>
  <c r="R508" i="9"/>
  <c r="U503" i="9"/>
  <c r="R499" i="9"/>
  <c r="R539" i="9"/>
  <c r="U505" i="9"/>
  <c r="U500" i="9"/>
  <c r="G598" i="9"/>
  <c r="U597" i="9"/>
  <c r="G732" i="9"/>
  <c r="R731" i="9"/>
  <c r="U731" i="9"/>
  <c r="P509" i="9"/>
  <c r="G475" i="9"/>
  <c r="R474" i="9"/>
  <c r="G512" i="9"/>
  <c r="R511" i="9"/>
  <c r="G573" i="9"/>
  <c r="R572" i="9"/>
  <c r="U572" i="9"/>
  <c r="G660" i="9"/>
  <c r="R659" i="9"/>
  <c r="U659" i="9"/>
  <c r="D675" i="9"/>
  <c r="S674" i="9"/>
  <c r="R711" i="9"/>
  <c r="U711" i="9"/>
  <c r="R597" i="9"/>
  <c r="P651" i="9"/>
  <c r="G563" i="9"/>
  <c r="U562" i="9"/>
  <c r="G640" i="9"/>
  <c r="U639" i="9"/>
  <c r="G685" i="9"/>
  <c r="U684" i="9"/>
  <c r="U538" i="9"/>
  <c r="R537" i="9"/>
  <c r="U535" i="9"/>
  <c r="U507" i="9"/>
  <c r="R506" i="9"/>
  <c r="U504" i="9"/>
  <c r="R503" i="9"/>
  <c r="U501" i="9"/>
  <c r="R498" i="9"/>
  <c r="U540" i="9"/>
  <c r="G542" i="9"/>
  <c r="U541" i="9"/>
  <c r="U536" i="9"/>
  <c r="R535" i="9"/>
  <c r="R507" i="9"/>
  <c r="R504" i="9"/>
  <c r="U502" i="9"/>
  <c r="R501" i="9"/>
  <c r="U499" i="9"/>
  <c r="R540" i="9"/>
  <c r="R639" i="9"/>
  <c r="R684" i="9"/>
  <c r="P511" i="9"/>
  <c r="P510" i="9"/>
  <c r="L273" i="1"/>
  <c r="K273" i="1"/>
  <c r="D513" i="9" l="1"/>
  <c r="D532" i="9"/>
  <c r="G686" i="9"/>
  <c r="R685" i="9"/>
  <c r="U685" i="9"/>
  <c r="G564" i="9"/>
  <c r="U563" i="9"/>
  <c r="R563" i="9"/>
  <c r="P659" i="9"/>
  <c r="U712" i="9"/>
  <c r="R712" i="9"/>
  <c r="G513" i="9"/>
  <c r="U512" i="9"/>
  <c r="P512" i="9" s="1"/>
  <c r="R512" i="9"/>
  <c r="G599" i="9"/>
  <c r="R598" i="9"/>
  <c r="U598" i="9"/>
  <c r="G641" i="9"/>
  <c r="R640" i="9"/>
  <c r="U640" i="9"/>
  <c r="G661" i="9"/>
  <c r="U660" i="9"/>
  <c r="R660" i="9"/>
  <c r="G543" i="9"/>
  <c r="U542" i="9"/>
  <c r="R542" i="9"/>
  <c r="D676" i="9"/>
  <c r="S675" i="9"/>
  <c r="G574" i="9"/>
  <c r="U573" i="9"/>
  <c r="R573" i="9"/>
  <c r="G476" i="9"/>
  <c r="U475" i="9"/>
  <c r="R475" i="9"/>
  <c r="G733" i="9"/>
  <c r="R732" i="9"/>
  <c r="U732" i="9"/>
  <c r="L234" i="4"/>
  <c r="L212" i="4"/>
  <c r="L190" i="4"/>
  <c r="L146" i="4"/>
  <c r="AE199" i="4"/>
  <c r="AE177" i="4"/>
  <c r="AE203" i="4"/>
  <c r="AE181" i="4"/>
  <c r="AE202" i="4"/>
  <c r="AE246" i="4"/>
  <c r="AE194" i="4"/>
  <c r="AE158" i="4"/>
  <c r="AE241" i="4"/>
  <c r="AE155" i="4"/>
  <c r="AE175" i="4"/>
  <c r="AE150" i="4"/>
  <c r="AE218" i="4"/>
  <c r="AE198" i="4"/>
  <c r="AE240" i="4"/>
  <c r="AE151" i="4"/>
  <c r="AE242" i="4"/>
  <c r="AE225" i="4"/>
  <c r="AE223" i="4"/>
  <c r="AE172" i="4"/>
  <c r="AE173" i="4"/>
  <c r="AE220" i="4"/>
  <c r="AE245" i="4"/>
  <c r="AE161" i="4"/>
  <c r="AE153" i="4"/>
  <c r="AE195" i="4"/>
  <c r="AE183" i="4"/>
  <c r="AE244" i="4"/>
  <c r="AE160" i="4"/>
  <c r="AE222" i="4"/>
  <c r="AE182" i="4"/>
  <c r="AE152" i="4"/>
  <c r="AE227" i="4"/>
  <c r="AE217" i="4"/>
  <c r="AE226" i="4"/>
  <c r="AE176" i="4"/>
  <c r="AE174" i="4"/>
  <c r="AE156" i="4"/>
  <c r="AE200" i="4"/>
  <c r="AE159" i="4"/>
  <c r="AE157" i="4"/>
  <c r="AE180" i="4"/>
  <c r="AE248" i="4"/>
  <c r="AE178" i="4"/>
  <c r="AE204" i="4"/>
  <c r="AE205" i="4"/>
  <c r="AE219" i="4"/>
  <c r="AE249" i="4"/>
  <c r="AE224" i="4"/>
  <c r="AE243" i="4"/>
  <c r="AE239" i="4"/>
  <c r="AE179" i="4"/>
  <c r="AE197" i="4"/>
  <c r="AE154" i="4"/>
  <c r="AE196" i="4"/>
  <c r="AE201" i="4"/>
  <c r="AE238" i="4"/>
  <c r="AE221" i="4"/>
  <c r="Q8" i="9"/>
  <c r="AE216" i="4"/>
  <c r="AE247" i="4"/>
  <c r="D514" i="9" l="1"/>
  <c r="D515" i="9" s="1"/>
  <c r="D516" i="9" s="1"/>
  <c r="D517" i="9" s="1"/>
  <c r="D518" i="9" s="1"/>
  <c r="D519" i="9" s="1"/>
  <c r="D520" i="9" s="1"/>
  <c r="D521" i="9" s="1"/>
  <c r="D522" i="9" s="1"/>
  <c r="D523" i="9" s="1"/>
  <c r="D524" i="9" s="1"/>
  <c r="D525" i="9" s="1"/>
  <c r="D526" i="9" s="1"/>
  <c r="D527" i="9" s="1"/>
  <c r="D528" i="9" s="1"/>
  <c r="D529" i="9" s="1"/>
  <c r="D533" i="9"/>
  <c r="R713" i="9"/>
  <c r="U713" i="9"/>
  <c r="P660" i="9"/>
  <c r="G687" i="9"/>
  <c r="U686" i="9"/>
  <c r="R686" i="9"/>
  <c r="G734" i="9"/>
  <c r="U733" i="9"/>
  <c r="R733" i="9"/>
  <c r="D677" i="9"/>
  <c r="S677" i="9" s="1"/>
  <c r="S676" i="9"/>
  <c r="G544" i="9"/>
  <c r="R543" i="9"/>
  <c r="U543" i="9"/>
  <c r="G514" i="9"/>
  <c r="R513" i="9"/>
  <c r="U513" i="9"/>
  <c r="P513" i="9" s="1"/>
  <c r="G565" i="9"/>
  <c r="U564" i="9"/>
  <c r="R564" i="9"/>
  <c r="G662" i="9"/>
  <c r="R661" i="9"/>
  <c r="U661" i="9"/>
  <c r="G477" i="9"/>
  <c r="R476" i="9"/>
  <c r="U476" i="9"/>
  <c r="R599" i="9"/>
  <c r="U599" i="9"/>
  <c r="G642" i="9"/>
  <c r="R641" i="9"/>
  <c r="U641" i="9"/>
  <c r="G575" i="9"/>
  <c r="R574" i="9"/>
  <c r="U574" i="9"/>
  <c r="P639" i="9"/>
  <c r="R714" i="9" l="1"/>
  <c r="U714" i="9"/>
  <c r="G663" i="9"/>
  <c r="R662" i="9"/>
  <c r="U662" i="9"/>
  <c r="G545" i="9"/>
  <c r="U544" i="9"/>
  <c r="R544" i="9"/>
  <c r="G566" i="9"/>
  <c r="R565" i="9"/>
  <c r="U565" i="9"/>
  <c r="G515" i="9"/>
  <c r="U514" i="9"/>
  <c r="P514" i="9" s="1"/>
  <c r="R514" i="9"/>
  <c r="G735" i="9"/>
  <c r="R734" i="9"/>
  <c r="U734" i="9"/>
  <c r="P640" i="9"/>
  <c r="G601" i="9"/>
  <c r="R600" i="9"/>
  <c r="U600" i="9"/>
  <c r="G478" i="9"/>
  <c r="U477" i="9"/>
  <c r="R477" i="9"/>
  <c r="G688" i="9"/>
  <c r="R687" i="9"/>
  <c r="U687" i="9"/>
  <c r="G643" i="9"/>
  <c r="R642" i="9"/>
  <c r="U642" i="9"/>
  <c r="G576" i="9"/>
  <c r="U575" i="9"/>
  <c r="R575" i="9"/>
  <c r="P498" i="9"/>
  <c r="P661" i="9"/>
  <c r="G689" i="9" l="1"/>
  <c r="R688" i="9"/>
  <c r="U688" i="9"/>
  <c r="G736" i="9"/>
  <c r="U735" i="9"/>
  <c r="R735" i="9"/>
  <c r="P499" i="9"/>
  <c r="P641" i="9"/>
  <c r="G577" i="9"/>
  <c r="R576" i="9"/>
  <c r="U576" i="9"/>
  <c r="G567" i="9"/>
  <c r="U566" i="9"/>
  <c r="R566" i="9"/>
  <c r="G664" i="9"/>
  <c r="R663" i="9"/>
  <c r="U663" i="9"/>
  <c r="P662" i="9"/>
  <c r="G644" i="9"/>
  <c r="R643" i="9"/>
  <c r="U643" i="9"/>
  <c r="G479" i="9"/>
  <c r="R478" i="9"/>
  <c r="U478" i="9"/>
  <c r="G602" i="9"/>
  <c r="U601" i="9"/>
  <c r="R601" i="9"/>
  <c r="G516" i="9"/>
  <c r="R515" i="9"/>
  <c r="U515" i="9"/>
  <c r="P515" i="9" s="1"/>
  <c r="G546" i="9"/>
  <c r="R545" i="9"/>
  <c r="U545" i="9"/>
  <c r="U715" i="9"/>
  <c r="R715" i="9"/>
  <c r="AI5" i="4"/>
  <c r="L124" i="4"/>
  <c r="L102" i="4"/>
  <c r="M19" i="4"/>
  <c r="L19" i="4"/>
  <c r="Q12" i="9"/>
  <c r="AE138" i="4"/>
  <c r="AE131" i="4"/>
  <c r="AE117" i="4"/>
  <c r="AE112" i="4"/>
  <c r="AE116" i="4"/>
  <c r="AE115" i="4"/>
  <c r="AE114" i="4"/>
  <c r="AE132" i="4"/>
  <c r="AE106" i="4"/>
  <c r="AE128" i="4"/>
  <c r="AE139" i="4"/>
  <c r="AE108" i="4"/>
  <c r="AE135" i="4"/>
  <c r="AE111" i="4"/>
  <c r="AE109" i="4"/>
  <c r="AE137" i="4"/>
  <c r="AE129" i="4"/>
  <c r="AE113" i="4"/>
  <c r="AE134" i="4"/>
  <c r="AE136" i="4"/>
  <c r="AE130" i="4"/>
  <c r="AE107" i="4"/>
  <c r="AE133" i="4"/>
  <c r="AE110" i="4"/>
  <c r="AH7" i="4" l="1"/>
  <c r="AH6" i="4"/>
  <c r="AH21" i="4"/>
  <c r="G603" i="9"/>
  <c r="R602" i="9"/>
  <c r="U602" i="9"/>
  <c r="G568" i="9"/>
  <c r="U567" i="9"/>
  <c r="R567" i="9"/>
  <c r="G547" i="9"/>
  <c r="U546" i="9"/>
  <c r="R546" i="9"/>
  <c r="P663" i="9"/>
  <c r="P500" i="9"/>
  <c r="G690" i="9"/>
  <c r="U689" i="9"/>
  <c r="R689" i="9"/>
  <c r="R716" i="9"/>
  <c r="U716" i="9"/>
  <c r="G480" i="9"/>
  <c r="R479" i="9"/>
  <c r="U479" i="9"/>
  <c r="G645" i="9"/>
  <c r="R644" i="9"/>
  <c r="U644" i="9"/>
  <c r="P642" i="9"/>
  <c r="G517" i="9"/>
  <c r="U516" i="9"/>
  <c r="P516" i="9" s="1"/>
  <c r="R516" i="9"/>
  <c r="G665" i="9"/>
  <c r="R664" i="9"/>
  <c r="U664" i="9"/>
  <c r="G578" i="9"/>
  <c r="U577" i="9"/>
  <c r="R577" i="9"/>
  <c r="G737" i="9"/>
  <c r="R736" i="9"/>
  <c r="U736" i="9"/>
  <c r="AH20" i="4"/>
  <c r="AH25" i="4"/>
  <c r="AH17" i="4"/>
  <c r="AH9" i="4"/>
  <c r="AH24" i="4"/>
  <c r="AH16" i="4"/>
  <c r="AH22" i="4"/>
  <c r="AH18" i="4"/>
  <c r="AH14" i="4"/>
  <c r="AH10" i="4"/>
  <c r="AH23" i="4"/>
  <c r="AH19" i="4"/>
  <c r="AH15" i="4"/>
  <c r="AH11" i="4"/>
  <c r="A7" i="10"/>
  <c r="A83" i="10"/>
  <c r="A82" i="10"/>
  <c r="Q87" i="10"/>
  <c r="P87" i="10"/>
  <c r="O87" i="10"/>
  <c r="N87" i="10"/>
  <c r="G95" i="1" s="1"/>
  <c r="Q86" i="10"/>
  <c r="P86" i="10"/>
  <c r="O86" i="10"/>
  <c r="N86" i="10"/>
  <c r="G94" i="1" s="1"/>
  <c r="Q83" i="10"/>
  <c r="H142" i="1" s="1"/>
  <c r="P83" i="10"/>
  <c r="G142" i="1" s="1"/>
  <c r="O83" i="10"/>
  <c r="F142" i="1" s="1"/>
  <c r="N83" i="10"/>
  <c r="G91" i="1" s="1"/>
  <c r="Q82" i="10"/>
  <c r="H141" i="1" s="1"/>
  <c r="P82" i="10"/>
  <c r="G141" i="1" s="1"/>
  <c r="O82" i="10"/>
  <c r="F141" i="1" s="1"/>
  <c r="N82" i="10"/>
  <c r="G90" i="1" s="1"/>
  <c r="Q79" i="10"/>
  <c r="P79" i="10"/>
  <c r="O79" i="10"/>
  <c r="Q78" i="10"/>
  <c r="P78" i="10"/>
  <c r="O78" i="10"/>
  <c r="Q77" i="10"/>
  <c r="P77" i="10"/>
  <c r="O77" i="10"/>
  <c r="Q68" i="10"/>
  <c r="P68" i="10"/>
  <c r="O68" i="10"/>
  <c r="N68" i="10"/>
  <c r="G75" i="1" s="1"/>
  <c r="Q67" i="10"/>
  <c r="P67" i="10"/>
  <c r="O67" i="10"/>
  <c r="N67" i="10"/>
  <c r="G74" i="1" s="1"/>
  <c r="Q66" i="10"/>
  <c r="P66" i="10"/>
  <c r="O66" i="10"/>
  <c r="N66" i="10"/>
  <c r="G73" i="1" s="1"/>
  <c r="Q65" i="10"/>
  <c r="P65" i="10"/>
  <c r="O65" i="10"/>
  <c r="N65" i="10"/>
  <c r="G72" i="1" s="1"/>
  <c r="Q64" i="10"/>
  <c r="P64" i="10"/>
  <c r="O64" i="10"/>
  <c r="N64" i="10"/>
  <c r="G71" i="1" s="1"/>
  <c r="N43" i="10"/>
  <c r="G50" i="1" s="1"/>
  <c r="O43" i="10"/>
  <c r="P43" i="10"/>
  <c r="Q43" i="10"/>
  <c r="N44" i="10"/>
  <c r="G51" i="1" s="1"/>
  <c r="O44" i="10"/>
  <c r="P44" i="10"/>
  <c r="Q44" i="10"/>
  <c r="N45" i="10"/>
  <c r="G52" i="1" s="1"/>
  <c r="O45" i="10"/>
  <c r="P45" i="10"/>
  <c r="Q45" i="10"/>
  <c r="N48" i="10"/>
  <c r="G55" i="1" s="1"/>
  <c r="O48" i="10"/>
  <c r="F137" i="1" s="1"/>
  <c r="P48" i="10"/>
  <c r="G137" i="1" s="1"/>
  <c r="Q48" i="10"/>
  <c r="H137" i="1" s="1"/>
  <c r="N49" i="10"/>
  <c r="G56" i="1" s="1"/>
  <c r="O49" i="10"/>
  <c r="F138" i="1" s="1"/>
  <c r="P49" i="10"/>
  <c r="G138" i="1" s="1"/>
  <c r="Q49" i="10"/>
  <c r="H138" i="1" s="1"/>
  <c r="N50" i="10"/>
  <c r="G57" i="1" s="1"/>
  <c r="O50" i="10"/>
  <c r="F139" i="1" s="1"/>
  <c r="P50" i="10"/>
  <c r="G139" i="1" s="1"/>
  <c r="Q50" i="10"/>
  <c r="H139" i="1" s="1"/>
  <c r="N51" i="10"/>
  <c r="G58" i="1" s="1"/>
  <c r="O51" i="10"/>
  <c r="F140" i="1" s="1"/>
  <c r="P51" i="10"/>
  <c r="G140" i="1" s="1"/>
  <c r="Q51" i="10"/>
  <c r="H140" i="1" s="1"/>
  <c r="N55" i="10"/>
  <c r="G62" i="1" s="1"/>
  <c r="O55" i="10"/>
  <c r="P55" i="10"/>
  <c r="Q55" i="10"/>
  <c r="N56" i="10"/>
  <c r="G63" i="1" s="1"/>
  <c r="O56" i="10"/>
  <c r="P56" i="10"/>
  <c r="Q56" i="10"/>
  <c r="N59" i="10"/>
  <c r="G66" i="1" s="1"/>
  <c r="O59" i="10"/>
  <c r="P59" i="10"/>
  <c r="Q59" i="10"/>
  <c r="N60" i="10"/>
  <c r="G67" i="1" s="1"/>
  <c r="O60" i="10"/>
  <c r="P60" i="10"/>
  <c r="Q60" i="10"/>
  <c r="N61" i="10"/>
  <c r="G68" i="1" s="1"/>
  <c r="O61" i="10"/>
  <c r="P61" i="10"/>
  <c r="Q61" i="10"/>
  <c r="O16" i="10"/>
  <c r="P16" i="10"/>
  <c r="Q16" i="10"/>
  <c r="O17" i="10"/>
  <c r="P17" i="10"/>
  <c r="Q17" i="10"/>
  <c r="O18" i="10"/>
  <c r="P18" i="10"/>
  <c r="Q18" i="10"/>
  <c r="O19" i="10"/>
  <c r="P19" i="10"/>
  <c r="Q19" i="10"/>
  <c r="O20" i="10"/>
  <c r="P20" i="10"/>
  <c r="Q20" i="10"/>
  <c r="O21" i="10"/>
  <c r="P21" i="10"/>
  <c r="Q21" i="10"/>
  <c r="O22" i="10"/>
  <c r="P22" i="10"/>
  <c r="Q22" i="10"/>
  <c r="O23" i="10"/>
  <c r="P23" i="10"/>
  <c r="Q23" i="10"/>
  <c r="N28" i="10"/>
  <c r="G34" i="1" s="1"/>
  <c r="O28" i="10"/>
  <c r="F133" i="1" s="1"/>
  <c r="P28" i="10"/>
  <c r="G133" i="1" s="1"/>
  <c r="Q28" i="10"/>
  <c r="H133" i="1" s="1"/>
  <c r="N29" i="10"/>
  <c r="G35" i="1" s="1"/>
  <c r="O29" i="10"/>
  <c r="F134" i="1" s="1"/>
  <c r="P29" i="10"/>
  <c r="G134" i="1" s="1"/>
  <c r="Q29" i="10"/>
  <c r="H134" i="1" s="1"/>
  <c r="N30" i="10"/>
  <c r="G36" i="1" s="1"/>
  <c r="O30" i="10"/>
  <c r="F135" i="1" s="1"/>
  <c r="P30" i="10"/>
  <c r="G135" i="1" s="1"/>
  <c r="Q30" i="10"/>
  <c r="H135" i="1" s="1"/>
  <c r="N31" i="10"/>
  <c r="G37" i="1" s="1"/>
  <c r="O31" i="10"/>
  <c r="F136" i="1" s="1"/>
  <c r="P31" i="10"/>
  <c r="G136" i="1" s="1"/>
  <c r="Q31" i="10"/>
  <c r="H136" i="1" s="1"/>
  <c r="N35" i="10"/>
  <c r="G41" i="1" s="1"/>
  <c r="O35" i="10"/>
  <c r="P35" i="10"/>
  <c r="Q35" i="10"/>
  <c r="F9" i="1" l="1"/>
  <c r="G604" i="9"/>
  <c r="R603" i="9"/>
  <c r="U603" i="9"/>
  <c r="G666" i="9"/>
  <c r="U665" i="9"/>
  <c r="R665" i="9"/>
  <c r="G646" i="9"/>
  <c r="R645" i="9"/>
  <c r="U645" i="9"/>
  <c r="G548" i="9"/>
  <c r="R547" i="9"/>
  <c r="U547" i="9"/>
  <c r="R717" i="9"/>
  <c r="U717" i="9"/>
  <c r="G518" i="9"/>
  <c r="R517" i="9"/>
  <c r="U517" i="9"/>
  <c r="P517" i="9" s="1"/>
  <c r="G481" i="9"/>
  <c r="U480" i="9"/>
  <c r="R480" i="9"/>
  <c r="P664" i="9"/>
  <c r="G569" i="9"/>
  <c r="U568" i="9"/>
  <c r="R568" i="9"/>
  <c r="G738" i="9"/>
  <c r="R737" i="9"/>
  <c r="U737" i="9"/>
  <c r="G579" i="9"/>
  <c r="R578" i="9"/>
  <c r="U578" i="9"/>
  <c r="P643" i="9"/>
  <c r="G691" i="9"/>
  <c r="R690" i="9"/>
  <c r="U690" i="9"/>
  <c r="P501" i="9"/>
  <c r="A71" i="10"/>
  <c r="L71" i="10" s="1"/>
  <c r="N37" i="10"/>
  <c r="O37" i="10"/>
  <c r="P37" i="10"/>
  <c r="Q37" i="10"/>
  <c r="N72" i="10"/>
  <c r="O72" i="10"/>
  <c r="P72" i="10"/>
  <c r="Q72" i="10"/>
  <c r="N73" i="10"/>
  <c r="O73" i="10"/>
  <c r="P73" i="10"/>
  <c r="Q73" i="10"/>
  <c r="L81" i="10"/>
  <c r="L82" i="10"/>
  <c r="L83" i="10"/>
  <c r="L36" i="4"/>
  <c r="A87" i="10"/>
  <c r="L87" i="10" s="1"/>
  <c r="A86" i="10"/>
  <c r="L86" i="10" s="1"/>
  <c r="A85" i="10"/>
  <c r="A79" i="10"/>
  <c r="A78" i="10"/>
  <c r="A77" i="10"/>
  <c r="A76" i="10"/>
  <c r="L76" i="10" s="1"/>
  <c r="A75" i="10"/>
  <c r="A73" i="10"/>
  <c r="L73" i="10" s="1"/>
  <c r="A72" i="10"/>
  <c r="L72" i="10" s="1"/>
  <c r="A70" i="10"/>
  <c r="L70" i="10" s="1"/>
  <c r="A68" i="10"/>
  <c r="L68" i="10" s="1"/>
  <c r="A67" i="10"/>
  <c r="L67" i="10" s="1"/>
  <c r="A66" i="10"/>
  <c r="L66" i="10" s="1"/>
  <c r="A65" i="10"/>
  <c r="L65" i="10" s="1"/>
  <c r="A64" i="10"/>
  <c r="L64" i="10" s="1"/>
  <c r="A63" i="10"/>
  <c r="L63" i="10" s="1"/>
  <c r="A61" i="10"/>
  <c r="L61" i="10" s="1"/>
  <c r="A60" i="10"/>
  <c r="L60" i="10" s="1"/>
  <c r="A59" i="10"/>
  <c r="L59" i="10" s="1"/>
  <c r="A58" i="10"/>
  <c r="L58" i="10" s="1"/>
  <c r="A56" i="10"/>
  <c r="L56" i="10" s="1"/>
  <c r="A55" i="10"/>
  <c r="L55" i="10" s="1"/>
  <c r="A54" i="10"/>
  <c r="L54" i="10" s="1"/>
  <c r="A53" i="10"/>
  <c r="L53" i="10" s="1"/>
  <c r="A51" i="10"/>
  <c r="L51" i="10" s="1"/>
  <c r="A50" i="10"/>
  <c r="L50" i="10" s="1"/>
  <c r="A49" i="10"/>
  <c r="L49" i="10" s="1"/>
  <c r="A48" i="10"/>
  <c r="L48" i="10" s="1"/>
  <c r="A47" i="10"/>
  <c r="L47" i="10" s="1"/>
  <c r="A45" i="10"/>
  <c r="L45" i="10" s="1"/>
  <c r="A44" i="10"/>
  <c r="L44" i="10" s="1"/>
  <c r="A43" i="10"/>
  <c r="L43" i="10" s="1"/>
  <c r="A42" i="10"/>
  <c r="L42" i="10" s="1"/>
  <c r="A41" i="10"/>
  <c r="L41" i="10" s="1"/>
  <c r="A40" i="10"/>
  <c r="L40" i="10" s="1"/>
  <c r="A39" i="10"/>
  <c r="L39" i="10" s="1"/>
  <c r="A38" i="10"/>
  <c r="A37" i="10"/>
  <c r="L37" i="10" s="1"/>
  <c r="C35" i="10"/>
  <c r="B35" i="10"/>
  <c r="A35" i="10"/>
  <c r="L35" i="10" s="1"/>
  <c r="A34" i="10"/>
  <c r="L34" i="10" s="1"/>
  <c r="A33" i="10"/>
  <c r="L33" i="10" s="1"/>
  <c r="C31" i="10"/>
  <c r="B31" i="10"/>
  <c r="A31" i="10"/>
  <c r="L31" i="10" s="1"/>
  <c r="C30" i="10"/>
  <c r="B30" i="10"/>
  <c r="A30" i="10"/>
  <c r="L30" i="10" s="1"/>
  <c r="A29" i="10"/>
  <c r="L29" i="10" s="1"/>
  <c r="A28" i="10"/>
  <c r="L28" i="10" s="1"/>
  <c r="A27" i="10"/>
  <c r="L27" i="10" s="1"/>
  <c r="A26" i="10"/>
  <c r="L26" i="10" s="1"/>
  <c r="A25" i="10"/>
  <c r="L25" i="10" s="1"/>
  <c r="A23" i="10"/>
  <c r="L23" i="10" s="1"/>
  <c r="A22" i="10"/>
  <c r="L22" i="10" s="1"/>
  <c r="A21" i="10"/>
  <c r="L21" i="10" s="1"/>
  <c r="A20" i="10"/>
  <c r="L20" i="10" s="1"/>
  <c r="A19" i="10"/>
  <c r="L19" i="10" s="1"/>
  <c r="A18" i="10"/>
  <c r="L18" i="10" s="1"/>
  <c r="A17" i="10"/>
  <c r="L17" i="10" s="1"/>
  <c r="A16" i="10"/>
  <c r="L16" i="10" s="1"/>
  <c r="A15" i="10"/>
  <c r="A14" i="10"/>
  <c r="L14" i="10" s="1"/>
  <c r="A13" i="10"/>
  <c r="L13" i="10" s="1"/>
  <c r="A12" i="10"/>
  <c r="F3" i="10"/>
  <c r="E22" i="10"/>
  <c r="E15" i="10"/>
  <c r="E43" i="10"/>
  <c r="F66" i="10"/>
  <c r="F55" i="10"/>
  <c r="F56" i="10"/>
  <c r="E44" i="10"/>
  <c r="E19" i="10"/>
  <c r="F60" i="10"/>
  <c r="E20" i="10"/>
  <c r="E13" i="10"/>
  <c r="F77" i="10"/>
  <c r="F86" i="10"/>
  <c r="F61" i="10"/>
  <c r="F68" i="10"/>
  <c r="F79" i="10"/>
  <c r="E42" i="10"/>
  <c r="F75" i="10"/>
  <c r="E17" i="10"/>
  <c r="F83" i="10"/>
  <c r="E40" i="10"/>
  <c r="F51" i="10"/>
  <c r="E39" i="10"/>
  <c r="F82" i="10"/>
  <c r="F67" i="10"/>
  <c r="E18" i="10"/>
  <c r="F49" i="10"/>
  <c r="F59" i="10"/>
  <c r="E23" i="10"/>
  <c r="F72" i="10"/>
  <c r="F78" i="10"/>
  <c r="F48" i="10"/>
  <c r="F50" i="10"/>
  <c r="E45" i="10"/>
  <c r="E21" i="10"/>
  <c r="F35" i="10"/>
  <c r="E14" i="10"/>
  <c r="F65" i="10"/>
  <c r="E16" i="10"/>
  <c r="F34" i="10"/>
  <c r="F64" i="10"/>
  <c r="E38" i="10"/>
  <c r="F87" i="10"/>
  <c r="E41" i="10"/>
  <c r="E80" i="1" l="1"/>
  <c r="E80" i="110" s="1"/>
  <c r="C48" i="110"/>
  <c r="C166" i="110" s="1"/>
  <c r="E52" i="110"/>
  <c r="D170" i="110" s="1"/>
  <c r="D36" i="110"/>
  <c r="C36" i="110" s="1"/>
  <c r="C135" i="110" s="1"/>
  <c r="C24" i="110"/>
  <c r="C155" i="110" s="1"/>
  <c r="D35" i="110"/>
  <c r="C52" i="110"/>
  <c r="C170" i="110" s="1"/>
  <c r="C86" i="110"/>
  <c r="H142" i="110"/>
  <c r="E46" i="110"/>
  <c r="D164" i="110" s="1"/>
  <c r="E51" i="110"/>
  <c r="D169" i="110" s="1"/>
  <c r="C46" i="110"/>
  <c r="C164" i="110" s="1"/>
  <c r="C47" i="110"/>
  <c r="C165" i="110" s="1"/>
  <c r="D32" i="110"/>
  <c r="E45" i="110"/>
  <c r="D163" i="110" s="1"/>
  <c r="C50" i="110"/>
  <c r="C168" i="110" s="1"/>
  <c r="D58" i="110"/>
  <c r="C58" i="110" s="1"/>
  <c r="C140" i="110" s="1"/>
  <c r="C51" i="110"/>
  <c r="C169" i="110" s="1"/>
  <c r="C21" i="110"/>
  <c r="C152" i="110" s="1"/>
  <c r="H152" i="110" s="1"/>
  <c r="E81" i="110"/>
  <c r="C26" i="110"/>
  <c r="C157" i="110" s="1"/>
  <c r="C20" i="110"/>
  <c r="C151" i="110" s="1"/>
  <c r="H151" i="110" s="1"/>
  <c r="D91" i="110"/>
  <c r="D55" i="110"/>
  <c r="C55" i="110" s="1"/>
  <c r="C137" i="110" s="1"/>
  <c r="D90" i="110"/>
  <c r="G141" i="110"/>
  <c r="G142" i="110"/>
  <c r="C22" i="110"/>
  <c r="C153" i="110" s="1"/>
  <c r="C27" i="110"/>
  <c r="C158" i="110" s="1"/>
  <c r="D40" i="110"/>
  <c r="E48" i="110"/>
  <c r="D166" i="110" s="1"/>
  <c r="AA87" i="1"/>
  <c r="C18" i="110"/>
  <c r="C149" i="110" s="1"/>
  <c r="H149" i="110" s="1"/>
  <c r="G140" i="110"/>
  <c r="AA85" i="1"/>
  <c r="C25" i="110"/>
  <c r="C156" i="110" s="1"/>
  <c r="E47" i="110"/>
  <c r="D165" i="110" s="1"/>
  <c r="D37" i="110"/>
  <c r="C37" i="110" s="1"/>
  <c r="C136" i="110" s="1"/>
  <c r="AA84" i="1"/>
  <c r="E50" i="110"/>
  <c r="D168" i="110" s="1"/>
  <c r="AA83" i="1"/>
  <c r="C23" i="110"/>
  <c r="C154" i="110" s="1"/>
  <c r="H140" i="110"/>
  <c r="C19" i="110"/>
  <c r="C150" i="110" s="1"/>
  <c r="H150" i="110" s="1"/>
  <c r="C29" i="110"/>
  <c r="C160" i="110" s="1"/>
  <c r="D33" i="110"/>
  <c r="D34" i="110"/>
  <c r="C28" i="110"/>
  <c r="C159" i="110" s="1"/>
  <c r="D41" i="110"/>
  <c r="C41" i="110" s="1"/>
  <c r="C162" i="110" s="1"/>
  <c r="S162" i="110" s="1"/>
  <c r="C45" i="110"/>
  <c r="C163" i="110" s="1"/>
  <c r="E49" i="110"/>
  <c r="D167" i="110" s="1"/>
  <c r="H141" i="110"/>
  <c r="D56" i="110"/>
  <c r="C56" i="110" s="1"/>
  <c r="C138" i="110" s="1"/>
  <c r="D57" i="110"/>
  <c r="E57" i="110" s="1"/>
  <c r="D139" i="110" s="1"/>
  <c r="D11" i="2"/>
  <c r="M14" i="2" s="1"/>
  <c r="B58" i="6"/>
  <c r="L15" i="10"/>
  <c r="F7" i="110"/>
  <c r="I187" i="110" s="1"/>
  <c r="L79" i="10"/>
  <c r="L77" i="10"/>
  <c r="L78" i="10"/>
  <c r="L85" i="10"/>
  <c r="P502" i="9"/>
  <c r="G580" i="9"/>
  <c r="U579" i="9"/>
  <c r="R579" i="9"/>
  <c r="P665" i="9"/>
  <c r="P644" i="9"/>
  <c r="G605" i="9"/>
  <c r="R604" i="9"/>
  <c r="U604" i="9"/>
  <c r="R569" i="9"/>
  <c r="U569" i="9"/>
  <c r="G519" i="9"/>
  <c r="U518" i="9"/>
  <c r="P518" i="9" s="1"/>
  <c r="R518" i="9"/>
  <c r="U718" i="9"/>
  <c r="R718" i="9"/>
  <c r="G549" i="9"/>
  <c r="U548" i="9"/>
  <c r="R548" i="9"/>
  <c r="G647" i="9"/>
  <c r="U646" i="9"/>
  <c r="R646" i="9"/>
  <c r="G667" i="9"/>
  <c r="R666" i="9"/>
  <c r="U666" i="9"/>
  <c r="G692" i="9"/>
  <c r="R691" i="9"/>
  <c r="U691" i="9"/>
  <c r="G739" i="9"/>
  <c r="U738" i="9"/>
  <c r="R738" i="9"/>
  <c r="G482" i="9"/>
  <c r="R481" i="9"/>
  <c r="U481" i="9"/>
  <c r="L38" i="10"/>
  <c r="C51" i="10"/>
  <c r="B51" i="10"/>
  <c r="B50" i="10"/>
  <c r="C48" i="10"/>
  <c r="B48" i="10"/>
  <c r="C49" i="10"/>
  <c r="B49" i="10"/>
  <c r="C50" i="10"/>
  <c r="L75" i="10"/>
  <c r="L11" i="10"/>
  <c r="B34" i="10"/>
  <c r="L12" i="10"/>
  <c r="R75" i="10"/>
  <c r="F83" i="1" s="1"/>
  <c r="R77" i="10"/>
  <c r="F85" i="1" s="1"/>
  <c r="R27" i="10"/>
  <c r="F33" i="1" s="1"/>
  <c r="R31" i="10"/>
  <c r="F37" i="1" s="1"/>
  <c r="R48" i="10"/>
  <c r="F55" i="1" s="1"/>
  <c r="R55" i="10"/>
  <c r="F62" i="1" s="1"/>
  <c r="R65" i="10"/>
  <c r="F72" i="1" s="1"/>
  <c r="R28" i="10"/>
  <c r="F34" i="1" s="1"/>
  <c r="R51" i="10"/>
  <c r="F58" i="1" s="1"/>
  <c r="R54" i="10"/>
  <c r="F61" i="1" s="1"/>
  <c r="R61" i="10"/>
  <c r="F68" i="1" s="1"/>
  <c r="R64" i="10"/>
  <c r="F71" i="1" s="1"/>
  <c r="R68" i="10"/>
  <c r="F75" i="1" s="1"/>
  <c r="R73" i="10"/>
  <c r="R82" i="10"/>
  <c r="F90" i="1" s="1"/>
  <c r="R29" i="10"/>
  <c r="F35" i="1" s="1"/>
  <c r="R34" i="10"/>
  <c r="F40" i="1" s="1"/>
  <c r="R50" i="10"/>
  <c r="F57" i="1" s="1"/>
  <c r="R60" i="10"/>
  <c r="F67" i="1" s="1"/>
  <c r="R67" i="10"/>
  <c r="F74" i="1" s="1"/>
  <c r="R87" i="10"/>
  <c r="F95" i="1" s="1"/>
  <c r="R26" i="10"/>
  <c r="F32" i="1" s="1"/>
  <c r="R30" i="10"/>
  <c r="F36" i="1" s="1"/>
  <c r="R35" i="10"/>
  <c r="F41" i="1" s="1"/>
  <c r="R49" i="10"/>
  <c r="F56" i="1" s="1"/>
  <c r="R56" i="10"/>
  <c r="F63" i="1" s="1"/>
  <c r="R59" i="10"/>
  <c r="F66" i="1" s="1"/>
  <c r="R66" i="10"/>
  <c r="F73" i="1" s="1"/>
  <c r="R72" i="10"/>
  <c r="R83" i="10"/>
  <c r="F91" i="1" s="1"/>
  <c r="R86" i="10"/>
  <c r="F94" i="1" s="1"/>
  <c r="C29" i="10"/>
  <c r="B26" i="10"/>
  <c r="B29" i="10"/>
  <c r="C26" i="10"/>
  <c r="C28" i="10"/>
  <c r="B28" i="10"/>
  <c r="C34" i="10"/>
  <c r="B27" i="10"/>
  <c r="F12" i="10"/>
  <c r="R12" i="10" s="1"/>
  <c r="F18" i="1" s="1"/>
  <c r="F13" i="10"/>
  <c r="R13" i="10" s="1"/>
  <c r="F19" i="1" s="1"/>
  <c r="F14" i="10"/>
  <c r="R14" i="10" s="1"/>
  <c r="F20" i="1" s="1"/>
  <c r="F15" i="10"/>
  <c r="R15" i="10" s="1"/>
  <c r="F21" i="1" s="1"/>
  <c r="F16" i="10"/>
  <c r="R16" i="10" s="1"/>
  <c r="F22" i="1" s="1"/>
  <c r="F17" i="10"/>
  <c r="R17" i="10" s="1"/>
  <c r="F23" i="1" s="1"/>
  <c r="F18" i="10"/>
  <c r="R18" i="10" s="1"/>
  <c r="F24" i="1" s="1"/>
  <c r="F19" i="10"/>
  <c r="R19" i="10" s="1"/>
  <c r="F25" i="1" s="1"/>
  <c r="F20" i="10"/>
  <c r="R20" i="10" s="1"/>
  <c r="F26" i="1" s="1"/>
  <c r="F21" i="10"/>
  <c r="R21" i="10" s="1"/>
  <c r="F27" i="1" s="1"/>
  <c r="F22" i="10"/>
  <c r="R22" i="10" s="1"/>
  <c r="F28" i="1" s="1"/>
  <c r="F23" i="10"/>
  <c r="R23" i="10" s="1"/>
  <c r="F29" i="1" s="1"/>
  <c r="H5" i="10"/>
  <c r="F38" i="10"/>
  <c r="R38" i="10" s="1"/>
  <c r="F45" i="1" s="1"/>
  <c r="F39" i="10"/>
  <c r="R39" i="10" s="1"/>
  <c r="F46" i="1" s="1"/>
  <c r="F40" i="10"/>
  <c r="R40" i="10" s="1"/>
  <c r="F47" i="1" s="1"/>
  <c r="F41" i="10"/>
  <c r="R41" i="10" s="1"/>
  <c r="F48" i="1" s="1"/>
  <c r="F42" i="10"/>
  <c r="R42" i="10" s="1"/>
  <c r="F49" i="1" s="1"/>
  <c r="F43" i="10"/>
  <c r="R43" i="10" s="1"/>
  <c r="F50" i="1" s="1"/>
  <c r="F44" i="10"/>
  <c r="R44" i="10" s="1"/>
  <c r="F51" i="1" s="1"/>
  <c r="F45" i="10"/>
  <c r="R45" i="10" s="1"/>
  <c r="F52" i="1" s="1"/>
  <c r="C27" i="10"/>
  <c r="F76" i="10"/>
  <c r="M15" i="2" l="1"/>
  <c r="C83" i="110"/>
  <c r="AA83" i="110" s="1"/>
  <c r="AA86" i="1"/>
  <c r="C84" i="110"/>
  <c r="AA84" i="110" s="1"/>
  <c r="C87" i="110"/>
  <c r="C85" i="110"/>
  <c r="AA85" i="110" s="1"/>
  <c r="AB85" i="110" s="1"/>
  <c r="AD85" i="110" s="1"/>
  <c r="U168" i="110"/>
  <c r="Q168" i="110"/>
  <c r="M168" i="110"/>
  <c r="S168" i="110"/>
  <c r="V168" i="110"/>
  <c r="N168" i="110"/>
  <c r="X168" i="110"/>
  <c r="T168" i="110"/>
  <c r="P168" i="110"/>
  <c r="W168" i="110"/>
  <c r="O168" i="110"/>
  <c r="R168" i="110"/>
  <c r="C49" i="110"/>
  <c r="C167" i="110" s="1"/>
  <c r="G167" i="110" s="1"/>
  <c r="C167" i="1"/>
  <c r="G170" i="110"/>
  <c r="U170" i="110"/>
  <c r="Q170" i="110"/>
  <c r="M170" i="110"/>
  <c r="S170" i="110"/>
  <c r="R170" i="110"/>
  <c r="X170" i="110"/>
  <c r="T170" i="110"/>
  <c r="P170" i="110"/>
  <c r="W170" i="110"/>
  <c r="O170" i="110"/>
  <c r="V170" i="110"/>
  <c r="N170" i="110"/>
  <c r="G169" i="110"/>
  <c r="U169" i="110"/>
  <c r="Q169" i="110"/>
  <c r="M169" i="110"/>
  <c r="W169" i="110"/>
  <c r="O169" i="110"/>
  <c r="V169" i="110"/>
  <c r="R169" i="110"/>
  <c r="X169" i="110"/>
  <c r="T169" i="110"/>
  <c r="P169" i="110"/>
  <c r="S169" i="110"/>
  <c r="N169" i="110"/>
  <c r="G168" i="110"/>
  <c r="E55" i="110"/>
  <c r="D137" i="110" s="1"/>
  <c r="H157" i="110"/>
  <c r="N162" i="110"/>
  <c r="C34" i="110"/>
  <c r="C133" i="110" s="1"/>
  <c r="C57" i="110"/>
  <c r="C139" i="110" s="1"/>
  <c r="H168" i="110"/>
  <c r="F9" i="110"/>
  <c r="I183" i="110"/>
  <c r="H166" i="110"/>
  <c r="U162" i="110"/>
  <c r="O162" i="110"/>
  <c r="T162" i="110"/>
  <c r="I114" i="110"/>
  <c r="I122" i="110" s="1"/>
  <c r="C32" i="110"/>
  <c r="C131" i="110" s="1"/>
  <c r="H160" i="110"/>
  <c r="E56" i="110"/>
  <c r="D138" i="110" s="1"/>
  <c r="H164" i="110"/>
  <c r="H80" i="110"/>
  <c r="AC83" i="110" s="1"/>
  <c r="AA86" i="110"/>
  <c r="AB86" i="110" s="1"/>
  <c r="AD86" i="110" s="1"/>
  <c r="G162" i="110"/>
  <c r="P162" i="110"/>
  <c r="M162" i="110"/>
  <c r="C35" i="110"/>
  <c r="C134" i="110" s="1"/>
  <c r="H156" i="110"/>
  <c r="H162" i="110"/>
  <c r="V162" i="110"/>
  <c r="R162" i="110"/>
  <c r="H163" i="110"/>
  <c r="Q162" i="110"/>
  <c r="W162" i="110"/>
  <c r="X162" i="110"/>
  <c r="H165" i="110"/>
  <c r="H159" i="110"/>
  <c r="H158" i="110"/>
  <c r="H155" i="110"/>
  <c r="C33" i="110"/>
  <c r="C132" i="110" s="1"/>
  <c r="H153" i="110"/>
  <c r="C40" i="110"/>
  <c r="C161" i="110" s="1"/>
  <c r="H161" i="110" s="1"/>
  <c r="E58" i="110"/>
  <c r="D140" i="110" s="1"/>
  <c r="H154" i="110"/>
  <c r="H170" i="110"/>
  <c r="H169" i="110"/>
  <c r="F49" i="110"/>
  <c r="F26" i="110"/>
  <c r="F51" i="110"/>
  <c r="F47" i="110"/>
  <c r="F29" i="110"/>
  <c r="F25" i="110"/>
  <c r="F21" i="110"/>
  <c r="F94" i="110"/>
  <c r="I94" i="110" s="1"/>
  <c r="F66" i="110"/>
  <c r="I66" i="110" s="1"/>
  <c r="F36" i="110"/>
  <c r="F67" i="110"/>
  <c r="I67" i="110" s="1"/>
  <c r="F90" i="110"/>
  <c r="F68" i="110"/>
  <c r="I68" i="110" s="1"/>
  <c r="F72" i="110"/>
  <c r="I72" i="110" s="1"/>
  <c r="F33" i="110"/>
  <c r="F52" i="110"/>
  <c r="F48" i="110"/>
  <c r="F50" i="110"/>
  <c r="F46" i="110"/>
  <c r="F28" i="110"/>
  <c r="F24" i="110"/>
  <c r="F20" i="110"/>
  <c r="F91" i="110"/>
  <c r="F63" i="110"/>
  <c r="I63" i="110" s="1"/>
  <c r="F32" i="110"/>
  <c r="F57" i="110"/>
  <c r="F61" i="110"/>
  <c r="F62" i="110"/>
  <c r="I62" i="110" s="1"/>
  <c r="F85" i="110"/>
  <c r="F27" i="110"/>
  <c r="F23" i="110"/>
  <c r="F19" i="110"/>
  <c r="F56" i="110"/>
  <c r="F95" i="110"/>
  <c r="I95" i="110" s="1"/>
  <c r="F40" i="110"/>
  <c r="F75" i="110"/>
  <c r="I75" i="110" s="1"/>
  <c r="F58" i="110"/>
  <c r="F55" i="110"/>
  <c r="F83" i="110"/>
  <c r="F45" i="110"/>
  <c r="F22" i="110"/>
  <c r="F18" i="110"/>
  <c r="F73" i="110"/>
  <c r="I73" i="110" s="1"/>
  <c r="F41" i="110"/>
  <c r="F74" i="110"/>
  <c r="I74" i="110" s="1"/>
  <c r="F35" i="110"/>
  <c r="F71" i="110"/>
  <c r="I71" i="110" s="1"/>
  <c r="F34" i="110"/>
  <c r="F37" i="110"/>
  <c r="G668" i="9"/>
  <c r="R667" i="9"/>
  <c r="U667" i="9"/>
  <c r="P503" i="9"/>
  <c r="G693" i="9"/>
  <c r="U692" i="9"/>
  <c r="R692" i="9"/>
  <c r="G550" i="9"/>
  <c r="R549" i="9"/>
  <c r="U549" i="9"/>
  <c r="G606" i="9"/>
  <c r="U605" i="9"/>
  <c r="R605" i="9"/>
  <c r="G581" i="9"/>
  <c r="R580" i="9"/>
  <c r="U580" i="9"/>
  <c r="U739" i="9"/>
  <c r="R739" i="9"/>
  <c r="G483" i="9"/>
  <c r="U482" i="9"/>
  <c r="R482" i="9"/>
  <c r="G648" i="9"/>
  <c r="R647" i="9"/>
  <c r="U647" i="9"/>
  <c r="G520" i="9"/>
  <c r="R519" i="9"/>
  <c r="U519" i="9"/>
  <c r="P519" i="9" s="1"/>
  <c r="P645" i="9"/>
  <c r="P666" i="9"/>
  <c r="R76" i="10"/>
  <c r="F84" i="1" s="1"/>
  <c r="R79" i="10"/>
  <c r="F87" i="1" s="1"/>
  <c r="R78" i="10"/>
  <c r="F86" i="1" s="1"/>
  <c r="C36" i="1"/>
  <c r="C32" i="1"/>
  <c r="H9" i="10"/>
  <c r="C33" i="1"/>
  <c r="C34" i="1"/>
  <c r="H80" i="1"/>
  <c r="E3" i="4"/>
  <c r="I185" i="1"/>
  <c r="I181" i="1"/>
  <c r="I180" i="1"/>
  <c r="D208" i="110"/>
  <c r="AA87" i="110" l="1"/>
  <c r="AB87" i="110" s="1"/>
  <c r="AD87" i="110" s="1"/>
  <c r="H167" i="110"/>
  <c r="I243" i="110"/>
  <c r="R176" i="110"/>
  <c r="T176" i="110"/>
  <c r="AC86" i="110"/>
  <c r="U176" i="110"/>
  <c r="N176" i="110"/>
  <c r="P176" i="110"/>
  <c r="M176" i="110"/>
  <c r="Q176" i="110"/>
  <c r="S176" i="110"/>
  <c r="W176" i="110"/>
  <c r="V176" i="110"/>
  <c r="O176" i="110"/>
  <c r="X176" i="110"/>
  <c r="AC87" i="110"/>
  <c r="I245" i="110"/>
  <c r="I259" i="110" s="1"/>
  <c r="I262" i="110" s="1"/>
  <c r="AC85" i="110"/>
  <c r="AC84" i="110"/>
  <c r="P125" i="110"/>
  <c r="V125" i="110"/>
  <c r="Q125" i="110"/>
  <c r="W125" i="110"/>
  <c r="N125" i="110"/>
  <c r="R125" i="110"/>
  <c r="X125" i="110"/>
  <c r="S125" i="110"/>
  <c r="U125" i="110"/>
  <c r="T125" i="110"/>
  <c r="O125" i="110"/>
  <c r="M125" i="110"/>
  <c r="K70" i="110"/>
  <c r="G48" i="3" s="1"/>
  <c r="E133" i="110"/>
  <c r="I34" i="110"/>
  <c r="E134" i="110"/>
  <c r="I35" i="110"/>
  <c r="E162" i="110"/>
  <c r="I41" i="110"/>
  <c r="E149" i="110"/>
  <c r="E163" i="110"/>
  <c r="E137" i="110"/>
  <c r="I55" i="110"/>
  <c r="E150" i="110"/>
  <c r="E158" i="110"/>
  <c r="I57" i="110"/>
  <c r="E139" i="110"/>
  <c r="E151" i="110"/>
  <c r="E159" i="110"/>
  <c r="E168" i="110"/>
  <c r="I50" i="110"/>
  <c r="E170" i="110"/>
  <c r="I52" i="110"/>
  <c r="E141" i="110"/>
  <c r="I90" i="110"/>
  <c r="I36" i="110"/>
  <c r="E135" i="110"/>
  <c r="E156" i="110"/>
  <c r="E165" i="110"/>
  <c r="E157" i="110"/>
  <c r="F86" i="110"/>
  <c r="E136" i="110"/>
  <c r="I37" i="110"/>
  <c r="E153" i="110"/>
  <c r="E140" i="110"/>
  <c r="I58" i="110"/>
  <c r="E161" i="110"/>
  <c r="E138" i="110"/>
  <c r="I56" i="110"/>
  <c r="E154" i="110"/>
  <c r="I32" i="110"/>
  <c r="E131" i="110"/>
  <c r="E142" i="110"/>
  <c r="I91" i="110"/>
  <c r="E155" i="110"/>
  <c r="E164" i="110"/>
  <c r="E166" i="110"/>
  <c r="E132" i="110"/>
  <c r="I33" i="110"/>
  <c r="K65" i="110"/>
  <c r="G47" i="3" s="1"/>
  <c r="E152" i="110"/>
  <c r="E160" i="110"/>
  <c r="E169" i="110"/>
  <c r="I51" i="110"/>
  <c r="E167" i="110"/>
  <c r="I49" i="110"/>
  <c r="F87" i="110"/>
  <c r="F84" i="110"/>
  <c r="Y48" i="3"/>
  <c r="J48" i="3"/>
  <c r="Y45" i="3"/>
  <c r="J45" i="3"/>
  <c r="Y46" i="3"/>
  <c r="J46" i="3"/>
  <c r="Y47" i="3"/>
  <c r="J47" i="3"/>
  <c r="Y49" i="3"/>
  <c r="J49" i="3"/>
  <c r="Y50" i="3"/>
  <c r="J50" i="3"/>
  <c r="E140" i="1"/>
  <c r="E142" i="1"/>
  <c r="E141" i="1"/>
  <c r="E138" i="1"/>
  <c r="E137" i="1"/>
  <c r="E139" i="1"/>
  <c r="I183" i="1"/>
  <c r="P667" i="9"/>
  <c r="G521" i="9"/>
  <c r="U520" i="9"/>
  <c r="P520" i="9" s="1"/>
  <c r="R520" i="9"/>
  <c r="P504" i="9"/>
  <c r="P646" i="9"/>
  <c r="G741" i="9"/>
  <c r="R740" i="9"/>
  <c r="U740" i="9"/>
  <c r="G484" i="9"/>
  <c r="R483" i="9"/>
  <c r="U483" i="9"/>
  <c r="G607" i="9"/>
  <c r="R606" i="9"/>
  <c r="U606" i="9"/>
  <c r="G551" i="9"/>
  <c r="U550" i="9"/>
  <c r="R550" i="9"/>
  <c r="G669" i="9"/>
  <c r="U668" i="9"/>
  <c r="R668" i="9"/>
  <c r="G582" i="9"/>
  <c r="U581" i="9"/>
  <c r="R581" i="9"/>
  <c r="G649" i="9"/>
  <c r="R648" i="9"/>
  <c r="U648" i="9"/>
  <c r="G694" i="9"/>
  <c r="R693" i="9"/>
  <c r="U693" i="9"/>
  <c r="I187" i="1"/>
  <c r="H91" i="1"/>
  <c r="I91" i="1" s="1"/>
  <c r="I90" i="1"/>
  <c r="I265" i="110" l="1"/>
  <c r="M265" i="110" s="1"/>
  <c r="I257" i="110"/>
  <c r="X167" i="110"/>
  <c r="T167" i="110"/>
  <c r="P167" i="110"/>
  <c r="M167" i="110"/>
  <c r="W167" i="110"/>
  <c r="S167" i="110"/>
  <c r="O167" i="110"/>
  <c r="U167" i="110"/>
  <c r="V167" i="110"/>
  <c r="R167" i="110"/>
  <c r="N167" i="110"/>
  <c r="Q167" i="110"/>
  <c r="I176" i="110"/>
  <c r="M141" i="1"/>
  <c r="R141" i="1"/>
  <c r="O141" i="1"/>
  <c r="V141" i="1"/>
  <c r="S141" i="1"/>
  <c r="W141" i="1"/>
  <c r="U141" i="1"/>
  <c r="P141" i="1"/>
  <c r="T141" i="1"/>
  <c r="Q141" i="1"/>
  <c r="N141" i="1"/>
  <c r="X141" i="1"/>
  <c r="M142" i="1"/>
  <c r="W142" i="1"/>
  <c r="T142" i="1"/>
  <c r="R142" i="1"/>
  <c r="U142" i="1"/>
  <c r="V142" i="1"/>
  <c r="X142" i="1"/>
  <c r="O142" i="1"/>
  <c r="N142" i="1"/>
  <c r="S142" i="1"/>
  <c r="P142" i="1"/>
  <c r="Q142" i="1"/>
  <c r="I125" i="110"/>
  <c r="M259" i="110"/>
  <c r="K31" i="110"/>
  <c r="G42" i="3" s="1"/>
  <c r="X141" i="110"/>
  <c r="T141" i="110"/>
  <c r="P141" i="110"/>
  <c r="W141" i="110"/>
  <c r="S141" i="110"/>
  <c r="O141" i="110"/>
  <c r="V141" i="110"/>
  <c r="R141" i="110"/>
  <c r="N141" i="110"/>
  <c r="U141" i="110"/>
  <c r="Q141" i="110"/>
  <c r="M141" i="110"/>
  <c r="V137" i="110"/>
  <c r="Q137" i="110"/>
  <c r="P137" i="110"/>
  <c r="R137" i="110"/>
  <c r="M137" i="110"/>
  <c r="O137" i="110"/>
  <c r="N137" i="110"/>
  <c r="X137" i="110"/>
  <c r="S137" i="110"/>
  <c r="U137" i="110"/>
  <c r="T137" i="110"/>
  <c r="W137" i="110"/>
  <c r="F97" i="110"/>
  <c r="O138" i="110"/>
  <c r="U138" i="110"/>
  <c r="T138" i="110"/>
  <c r="V138" i="110"/>
  <c r="Q138" i="110"/>
  <c r="P138" i="110"/>
  <c r="W138" i="110"/>
  <c r="R138" i="110"/>
  <c r="M138" i="110"/>
  <c r="S138" i="110"/>
  <c r="N138" i="110"/>
  <c r="X138" i="110"/>
  <c r="U140" i="110"/>
  <c r="T140" i="110"/>
  <c r="O140" i="110"/>
  <c r="Q140" i="110"/>
  <c r="P140" i="110"/>
  <c r="N140" i="110"/>
  <c r="M140" i="110"/>
  <c r="W140" i="110"/>
  <c r="V140" i="110"/>
  <c r="X140" i="110"/>
  <c r="S140" i="110"/>
  <c r="R140" i="110"/>
  <c r="V135" i="110"/>
  <c r="Q135" i="110"/>
  <c r="P135" i="110"/>
  <c r="W135" i="110"/>
  <c r="R135" i="110"/>
  <c r="U135" i="110"/>
  <c r="S135" i="110"/>
  <c r="N135" i="110"/>
  <c r="M135" i="110"/>
  <c r="O135" i="110"/>
  <c r="T135" i="110"/>
  <c r="X135" i="110"/>
  <c r="U139" i="110"/>
  <c r="W139" i="110"/>
  <c r="R139" i="110"/>
  <c r="M139" i="110"/>
  <c r="X139" i="110"/>
  <c r="S139" i="110"/>
  <c r="N139" i="110"/>
  <c r="T139" i="110"/>
  <c r="O139" i="110"/>
  <c r="Q139" i="110"/>
  <c r="P139" i="110"/>
  <c r="V139" i="110"/>
  <c r="W142" i="110"/>
  <c r="S142" i="110"/>
  <c r="O142" i="110"/>
  <c r="V142" i="110"/>
  <c r="R142" i="110"/>
  <c r="N142" i="110"/>
  <c r="U142" i="110"/>
  <c r="Q142" i="110"/>
  <c r="M142" i="110"/>
  <c r="X142" i="110"/>
  <c r="T142" i="110"/>
  <c r="P142" i="110"/>
  <c r="M136" i="110"/>
  <c r="W136" i="110"/>
  <c r="R136" i="110"/>
  <c r="X136" i="110"/>
  <c r="S136" i="110"/>
  <c r="N136" i="110"/>
  <c r="U136" i="110"/>
  <c r="T136" i="110"/>
  <c r="O136" i="110"/>
  <c r="Q136" i="110"/>
  <c r="P136" i="110"/>
  <c r="V136" i="110"/>
  <c r="K54" i="110"/>
  <c r="G45" i="3" s="1"/>
  <c r="G583" i="9"/>
  <c r="U582" i="9"/>
  <c r="R582" i="9"/>
  <c r="U484" i="9"/>
  <c r="R484" i="9"/>
  <c r="G485" i="9"/>
  <c r="G742" i="9"/>
  <c r="U741" i="9"/>
  <c r="R741" i="9"/>
  <c r="P647" i="9"/>
  <c r="G650" i="9"/>
  <c r="U649" i="9"/>
  <c r="R649" i="9"/>
  <c r="G608" i="9"/>
  <c r="R607" i="9"/>
  <c r="U607" i="9"/>
  <c r="G522" i="9"/>
  <c r="R521" i="9"/>
  <c r="U521" i="9"/>
  <c r="P521" i="9" s="1"/>
  <c r="G695" i="9"/>
  <c r="U694" i="9"/>
  <c r="R694" i="9"/>
  <c r="G552" i="9"/>
  <c r="R551" i="9"/>
  <c r="U551" i="9"/>
  <c r="P505" i="9"/>
  <c r="G670" i="9"/>
  <c r="U669" i="9"/>
  <c r="R669" i="9"/>
  <c r="P668" i="9"/>
  <c r="J39" i="4"/>
  <c r="L4" i="4"/>
  <c r="AB2" i="4"/>
  <c r="AB3" i="4"/>
  <c r="AE23" i="4"/>
  <c r="AE24" i="4"/>
  <c r="AE25" i="4"/>
  <c r="AE26" i="4"/>
  <c r="AE27" i="4"/>
  <c r="AE28" i="4"/>
  <c r="AE29" i="4"/>
  <c r="AE30" i="4"/>
  <c r="AE31" i="4"/>
  <c r="AE32" i="4"/>
  <c r="AE8" i="4"/>
  <c r="AE9" i="4"/>
  <c r="AE10" i="4"/>
  <c r="AE11" i="4"/>
  <c r="AE12" i="4"/>
  <c r="AE13" i="4"/>
  <c r="AE14" i="4"/>
  <c r="AE15" i="4"/>
  <c r="AE16" i="4"/>
  <c r="AE17" i="4"/>
  <c r="AE7" i="4"/>
  <c r="AE6" i="4"/>
  <c r="AE22" i="4"/>
  <c r="AE21" i="4"/>
  <c r="M4" i="4"/>
  <c r="L80" i="4"/>
  <c r="L58" i="4"/>
  <c r="U787" i="9"/>
  <c r="U788" i="9"/>
  <c r="U789" i="9"/>
  <c r="U790" i="9"/>
  <c r="U791" i="9"/>
  <c r="U792" i="9"/>
  <c r="U793" i="9"/>
  <c r="U794" i="9"/>
  <c r="U795" i="9"/>
  <c r="U796" i="9"/>
  <c r="U797" i="9"/>
  <c r="U798" i="9"/>
  <c r="U799" i="9"/>
  <c r="U800" i="9"/>
  <c r="U801" i="9"/>
  <c r="U802" i="9"/>
  <c r="U803" i="9"/>
  <c r="U804" i="9"/>
  <c r="U805" i="9"/>
  <c r="U806" i="9"/>
  <c r="U807" i="9"/>
  <c r="U808" i="9"/>
  <c r="U809" i="9"/>
  <c r="U810" i="9"/>
  <c r="U811" i="9"/>
  <c r="U812" i="9"/>
  <c r="U813" i="9"/>
  <c r="U814" i="9"/>
  <c r="U815" i="9"/>
  <c r="U816" i="9"/>
  <c r="U817" i="9"/>
  <c r="U818" i="9"/>
  <c r="U819" i="9"/>
  <c r="U820" i="9"/>
  <c r="U821" i="9"/>
  <c r="U822" i="9"/>
  <c r="U823" i="9"/>
  <c r="U824" i="9"/>
  <c r="U825" i="9"/>
  <c r="U826" i="9"/>
  <c r="U827" i="9"/>
  <c r="U828" i="9"/>
  <c r="U829" i="9"/>
  <c r="U830" i="9"/>
  <c r="U831" i="9"/>
  <c r="U832" i="9"/>
  <c r="U833" i="9"/>
  <c r="U834" i="9"/>
  <c r="U835" i="9"/>
  <c r="U836" i="9"/>
  <c r="U837" i="9"/>
  <c r="U838" i="9"/>
  <c r="U839" i="9"/>
  <c r="U840" i="9"/>
  <c r="U841" i="9"/>
  <c r="U842" i="9"/>
  <c r="U843" i="9"/>
  <c r="U844" i="9"/>
  <c r="U845" i="9"/>
  <c r="U846" i="9"/>
  <c r="U847" i="9"/>
  <c r="U848" i="9"/>
  <c r="U849" i="9"/>
  <c r="U850" i="9"/>
  <c r="U851" i="9"/>
  <c r="U852" i="9"/>
  <c r="U853" i="9"/>
  <c r="U854" i="9"/>
  <c r="U855" i="9"/>
  <c r="U856" i="9"/>
  <c r="U857" i="9"/>
  <c r="U858" i="9"/>
  <c r="U859" i="9"/>
  <c r="U860" i="9"/>
  <c r="U861" i="9"/>
  <c r="U862" i="9"/>
  <c r="U863" i="9"/>
  <c r="U864" i="9"/>
  <c r="U865" i="9"/>
  <c r="U866" i="9"/>
  <c r="U867" i="9"/>
  <c r="U868" i="9"/>
  <c r="U869" i="9"/>
  <c r="U870" i="9"/>
  <c r="U871" i="9"/>
  <c r="U872" i="9"/>
  <c r="U873" i="9"/>
  <c r="U874" i="9"/>
  <c r="U875" i="9"/>
  <c r="U876" i="9"/>
  <c r="U877" i="9"/>
  <c r="U878" i="9"/>
  <c r="U879" i="9"/>
  <c r="U880" i="9"/>
  <c r="U881" i="9"/>
  <c r="U882" i="9"/>
  <c r="U883" i="9"/>
  <c r="U884" i="9"/>
  <c r="U885" i="9"/>
  <c r="U886" i="9"/>
  <c r="U887" i="9"/>
  <c r="U888" i="9"/>
  <c r="U889" i="9"/>
  <c r="U890" i="9"/>
  <c r="U891" i="9"/>
  <c r="U892" i="9"/>
  <c r="U893" i="9"/>
  <c r="U894" i="9"/>
  <c r="U895" i="9"/>
  <c r="U896" i="9"/>
  <c r="U897" i="9"/>
  <c r="U898" i="9"/>
  <c r="U899" i="9"/>
  <c r="U900" i="9"/>
  <c r="U901" i="9"/>
  <c r="U902" i="9"/>
  <c r="U903" i="9"/>
  <c r="U904" i="9"/>
  <c r="U905" i="9"/>
  <c r="U906" i="9"/>
  <c r="U907" i="9"/>
  <c r="U908" i="9"/>
  <c r="U909" i="9"/>
  <c r="U910" i="9"/>
  <c r="U911" i="9"/>
  <c r="U912" i="9"/>
  <c r="U913" i="9"/>
  <c r="U914" i="9"/>
  <c r="U915" i="9"/>
  <c r="U916" i="9"/>
  <c r="U917" i="9"/>
  <c r="U786" i="9"/>
  <c r="U61" i="9"/>
  <c r="U69" i="9"/>
  <c r="U70" i="9"/>
  <c r="U71" i="9"/>
  <c r="U72" i="9"/>
  <c r="U73" i="9"/>
  <c r="U74" i="9"/>
  <c r="U75" i="9"/>
  <c r="U76" i="9"/>
  <c r="U77" i="9"/>
  <c r="U78" i="9"/>
  <c r="U79" i="9"/>
  <c r="U80" i="9"/>
  <c r="U81" i="9"/>
  <c r="U82" i="9"/>
  <c r="U83" i="9"/>
  <c r="U84" i="9"/>
  <c r="U85" i="9"/>
  <c r="U86" i="9"/>
  <c r="U87" i="9"/>
  <c r="U88" i="9"/>
  <c r="U89" i="9"/>
  <c r="U90" i="9"/>
  <c r="U91" i="9"/>
  <c r="U92" i="9"/>
  <c r="U93" i="9"/>
  <c r="U94" i="9"/>
  <c r="U95" i="9"/>
  <c r="U96" i="9"/>
  <c r="U97" i="9"/>
  <c r="U98" i="9"/>
  <c r="U99" i="9"/>
  <c r="U100" i="9"/>
  <c r="U101" i="9"/>
  <c r="U102" i="9"/>
  <c r="U103" i="9"/>
  <c r="U104" i="9"/>
  <c r="U105" i="9"/>
  <c r="U106" i="9"/>
  <c r="U107" i="9"/>
  <c r="U108" i="9"/>
  <c r="U109" i="9"/>
  <c r="U110" i="9"/>
  <c r="U111" i="9"/>
  <c r="U112" i="9"/>
  <c r="U113" i="9"/>
  <c r="U114" i="9"/>
  <c r="U115" i="9"/>
  <c r="U116" i="9"/>
  <c r="U117" i="9"/>
  <c r="U118" i="9"/>
  <c r="U119" i="9"/>
  <c r="U120" i="9"/>
  <c r="U121" i="9"/>
  <c r="U122" i="9"/>
  <c r="U123" i="9"/>
  <c r="U124" i="9"/>
  <c r="U125" i="9"/>
  <c r="U126" i="9"/>
  <c r="U127" i="9"/>
  <c r="U128" i="9"/>
  <c r="U129" i="9"/>
  <c r="U130" i="9"/>
  <c r="U131" i="9"/>
  <c r="U132" i="9"/>
  <c r="U133" i="9"/>
  <c r="U134" i="9"/>
  <c r="U135" i="9"/>
  <c r="U136" i="9"/>
  <c r="U137" i="9"/>
  <c r="U138" i="9"/>
  <c r="U139" i="9"/>
  <c r="U140" i="9"/>
  <c r="U141" i="9"/>
  <c r="U142" i="9"/>
  <c r="U143" i="9"/>
  <c r="U144" i="9"/>
  <c r="U145" i="9"/>
  <c r="U146" i="9"/>
  <c r="U147" i="9"/>
  <c r="U148" i="9"/>
  <c r="U149" i="9"/>
  <c r="U150" i="9"/>
  <c r="U151" i="9"/>
  <c r="U152" i="9"/>
  <c r="U153" i="9"/>
  <c r="U154" i="9"/>
  <c r="U155" i="9"/>
  <c r="U156" i="9"/>
  <c r="U157" i="9"/>
  <c r="U158" i="9"/>
  <c r="U159" i="9"/>
  <c r="U160" i="9"/>
  <c r="U161" i="9"/>
  <c r="U162" i="9"/>
  <c r="U163" i="9"/>
  <c r="U164" i="9"/>
  <c r="U165" i="9"/>
  <c r="U166" i="9"/>
  <c r="U167" i="9"/>
  <c r="U168" i="9"/>
  <c r="U169" i="9"/>
  <c r="U170" i="9"/>
  <c r="U171" i="9"/>
  <c r="U172" i="9"/>
  <c r="U173" i="9"/>
  <c r="U174" i="9"/>
  <c r="U175" i="9"/>
  <c r="U176" i="9"/>
  <c r="U177" i="9"/>
  <c r="U184" i="9"/>
  <c r="U186" i="9"/>
  <c r="U187" i="9"/>
  <c r="U188" i="9"/>
  <c r="U189" i="9"/>
  <c r="U190" i="9"/>
  <c r="U191" i="9"/>
  <c r="U192" i="9"/>
  <c r="U193" i="9"/>
  <c r="U194" i="9"/>
  <c r="U195" i="9"/>
  <c r="U196" i="9"/>
  <c r="U197" i="9"/>
  <c r="U198" i="9"/>
  <c r="U199" i="9"/>
  <c r="U200" i="9"/>
  <c r="U201" i="9"/>
  <c r="U202" i="9"/>
  <c r="U203" i="9"/>
  <c r="U204" i="9"/>
  <c r="U205" i="9"/>
  <c r="U206" i="9"/>
  <c r="U207" i="9"/>
  <c r="U208" i="9"/>
  <c r="U209" i="9"/>
  <c r="U210" i="9"/>
  <c r="U211" i="9"/>
  <c r="U212" i="9"/>
  <c r="U213" i="9"/>
  <c r="U214" i="9"/>
  <c r="U215" i="9"/>
  <c r="U216" i="9"/>
  <c r="U217" i="9"/>
  <c r="U218" i="9"/>
  <c r="U219" i="9"/>
  <c r="U220" i="9"/>
  <c r="U221" i="9"/>
  <c r="U222" i="9"/>
  <c r="U223" i="9"/>
  <c r="U224" i="9"/>
  <c r="U225" i="9"/>
  <c r="U226" i="9"/>
  <c r="U227" i="9"/>
  <c r="U228" i="9"/>
  <c r="U229" i="9"/>
  <c r="U230" i="9"/>
  <c r="U231" i="9"/>
  <c r="U232" i="9"/>
  <c r="U233" i="9"/>
  <c r="U234" i="9"/>
  <c r="U235" i="9"/>
  <c r="U236" i="9"/>
  <c r="U237" i="9"/>
  <c r="U238" i="9"/>
  <c r="U239" i="9"/>
  <c r="U240" i="9"/>
  <c r="U241" i="9"/>
  <c r="U242" i="9"/>
  <c r="U243" i="9"/>
  <c r="U246" i="9"/>
  <c r="U247" i="9"/>
  <c r="U248" i="9"/>
  <c r="U249" i="9"/>
  <c r="U250" i="9"/>
  <c r="U251" i="9"/>
  <c r="U252" i="9"/>
  <c r="U253" i="9"/>
  <c r="U254" i="9"/>
  <c r="U255" i="9"/>
  <c r="U256" i="9"/>
  <c r="U257" i="9"/>
  <c r="U258" i="9"/>
  <c r="U259" i="9"/>
  <c r="U260" i="9"/>
  <c r="U261" i="9"/>
  <c r="U262" i="9"/>
  <c r="U263" i="9"/>
  <c r="U264" i="9"/>
  <c r="U265" i="9"/>
  <c r="U266" i="9"/>
  <c r="U267" i="9"/>
  <c r="U268" i="9"/>
  <c r="U269" i="9"/>
  <c r="U270" i="9"/>
  <c r="U271" i="9"/>
  <c r="U272" i="9"/>
  <c r="U273" i="9"/>
  <c r="U274" i="9"/>
  <c r="U275" i="9"/>
  <c r="U276" i="9"/>
  <c r="U277" i="9"/>
  <c r="U278" i="9"/>
  <c r="U279" i="9"/>
  <c r="U280" i="9"/>
  <c r="U281" i="9"/>
  <c r="U282" i="9"/>
  <c r="U283" i="9"/>
  <c r="U284" i="9"/>
  <c r="U285" i="9"/>
  <c r="U286" i="9"/>
  <c r="U287" i="9"/>
  <c r="U288" i="9"/>
  <c r="U289" i="9"/>
  <c r="U290" i="9"/>
  <c r="U291" i="9"/>
  <c r="U292" i="9"/>
  <c r="U293" i="9"/>
  <c r="U294" i="9"/>
  <c r="U295" i="9"/>
  <c r="U296" i="9"/>
  <c r="U297" i="9"/>
  <c r="U298" i="9"/>
  <c r="U299" i="9"/>
  <c r="U300" i="9"/>
  <c r="U301" i="9"/>
  <c r="U302" i="9"/>
  <c r="U303" i="9"/>
  <c r="U304" i="9"/>
  <c r="U305" i="9"/>
  <c r="U306" i="9"/>
  <c r="U307" i="9"/>
  <c r="U308" i="9"/>
  <c r="U309" i="9"/>
  <c r="U310" i="9"/>
  <c r="U311" i="9"/>
  <c r="U312" i="9"/>
  <c r="U313" i="9"/>
  <c r="U314" i="9"/>
  <c r="U315" i="9"/>
  <c r="U316" i="9"/>
  <c r="U317" i="9"/>
  <c r="U318" i="9"/>
  <c r="U319" i="9"/>
  <c r="U320" i="9"/>
  <c r="U321" i="9"/>
  <c r="U322" i="9"/>
  <c r="U323" i="9"/>
  <c r="U324" i="9"/>
  <c r="U325" i="9"/>
  <c r="U326" i="9"/>
  <c r="U327" i="9"/>
  <c r="U328" i="9"/>
  <c r="U329" i="9"/>
  <c r="U330" i="9"/>
  <c r="U331" i="9"/>
  <c r="U332" i="9"/>
  <c r="U333" i="9"/>
  <c r="U334" i="9"/>
  <c r="U335" i="9"/>
  <c r="U336" i="9"/>
  <c r="U337" i="9"/>
  <c r="U338" i="9"/>
  <c r="U339" i="9"/>
  <c r="U340" i="9"/>
  <c r="U341" i="9"/>
  <c r="U342" i="9"/>
  <c r="U343" i="9"/>
  <c r="U344" i="9"/>
  <c r="U345" i="9"/>
  <c r="U346" i="9"/>
  <c r="U347" i="9"/>
  <c r="U348" i="9"/>
  <c r="U349" i="9"/>
  <c r="U350" i="9"/>
  <c r="U351" i="9"/>
  <c r="U352" i="9"/>
  <c r="U353" i="9"/>
  <c r="U354" i="9"/>
  <c r="U355" i="9"/>
  <c r="U356" i="9"/>
  <c r="U357" i="9"/>
  <c r="U358" i="9"/>
  <c r="U359" i="9"/>
  <c r="U360" i="9"/>
  <c r="U361" i="9"/>
  <c r="U362" i="9"/>
  <c r="U363" i="9"/>
  <c r="U364" i="9"/>
  <c r="U365" i="9"/>
  <c r="U366" i="9"/>
  <c r="U367" i="9"/>
  <c r="U368" i="9"/>
  <c r="U369" i="9"/>
  <c r="U370" i="9"/>
  <c r="U371" i="9"/>
  <c r="U372" i="9"/>
  <c r="U373" i="9"/>
  <c r="U374" i="9"/>
  <c r="U375" i="9"/>
  <c r="U376" i="9"/>
  <c r="U377" i="9"/>
  <c r="U378" i="9"/>
  <c r="U379" i="9"/>
  <c r="U380" i="9"/>
  <c r="U381" i="9"/>
  <c r="U382" i="9"/>
  <c r="U383" i="9"/>
  <c r="U384" i="9"/>
  <c r="U385" i="9"/>
  <c r="U386" i="9"/>
  <c r="U387" i="9"/>
  <c r="U388" i="9"/>
  <c r="U389" i="9"/>
  <c r="U390" i="9"/>
  <c r="U391" i="9"/>
  <c r="U392" i="9"/>
  <c r="U393" i="9"/>
  <c r="U394" i="9"/>
  <c r="U395" i="9"/>
  <c r="U396" i="9"/>
  <c r="U397" i="9"/>
  <c r="U398" i="9"/>
  <c r="U399" i="9"/>
  <c r="U400" i="9"/>
  <c r="U401" i="9"/>
  <c r="U402" i="9"/>
  <c r="U403" i="9"/>
  <c r="U404" i="9"/>
  <c r="U405" i="9"/>
  <c r="U406" i="9"/>
  <c r="U407" i="9"/>
  <c r="U408" i="9"/>
  <c r="U409" i="9"/>
  <c r="U410" i="9"/>
  <c r="U411" i="9"/>
  <c r="U412" i="9"/>
  <c r="U413" i="9"/>
  <c r="U414" i="9"/>
  <c r="U415" i="9"/>
  <c r="U416" i="9"/>
  <c r="U417" i="9"/>
  <c r="U418" i="9"/>
  <c r="U419" i="9"/>
  <c r="U420" i="9"/>
  <c r="U421" i="9"/>
  <c r="U422" i="9"/>
  <c r="U423" i="9"/>
  <c r="U424" i="9"/>
  <c r="U425" i="9"/>
  <c r="U426" i="9"/>
  <c r="U427" i="9"/>
  <c r="U428" i="9"/>
  <c r="U429" i="9"/>
  <c r="U430" i="9"/>
  <c r="U431" i="9"/>
  <c r="U432" i="9"/>
  <c r="U433" i="9"/>
  <c r="U434" i="9"/>
  <c r="U435" i="9"/>
  <c r="U436" i="9"/>
  <c r="U437" i="9"/>
  <c r="U438" i="9"/>
  <c r="U439" i="9"/>
  <c r="U440" i="9"/>
  <c r="U441" i="9"/>
  <c r="U442" i="9"/>
  <c r="U443" i="9"/>
  <c r="U444" i="9"/>
  <c r="U445" i="9"/>
  <c r="U446" i="9"/>
  <c r="U447" i="9"/>
  <c r="U60" i="9"/>
  <c r="R61" i="9"/>
  <c r="R68" i="9"/>
  <c r="R69" i="9"/>
  <c r="R70" i="9"/>
  <c r="R71" i="9"/>
  <c r="R72" i="9"/>
  <c r="R73" i="9"/>
  <c r="R74" i="9"/>
  <c r="R75" i="9"/>
  <c r="R76" i="9"/>
  <c r="R77" i="9"/>
  <c r="R78" i="9"/>
  <c r="R79" i="9"/>
  <c r="R80" i="9"/>
  <c r="R81" i="9"/>
  <c r="R82" i="9"/>
  <c r="R83" i="9"/>
  <c r="R84" i="9"/>
  <c r="R85" i="9"/>
  <c r="R86" i="9"/>
  <c r="R87" i="9"/>
  <c r="R88" i="9"/>
  <c r="R89" i="9"/>
  <c r="R90" i="9"/>
  <c r="R91" i="9"/>
  <c r="R92" i="9"/>
  <c r="R93" i="9"/>
  <c r="R94" i="9"/>
  <c r="R95" i="9"/>
  <c r="R96" i="9"/>
  <c r="R97" i="9"/>
  <c r="R98" i="9"/>
  <c r="R99" i="9"/>
  <c r="R100" i="9"/>
  <c r="R101" i="9"/>
  <c r="R102" i="9"/>
  <c r="R103" i="9"/>
  <c r="R104" i="9"/>
  <c r="R105" i="9"/>
  <c r="R106" i="9"/>
  <c r="R107" i="9"/>
  <c r="R108" i="9"/>
  <c r="R109" i="9"/>
  <c r="R110" i="9"/>
  <c r="R111" i="9"/>
  <c r="R112" i="9"/>
  <c r="R113" i="9"/>
  <c r="R114" i="9"/>
  <c r="R115" i="9"/>
  <c r="R116" i="9"/>
  <c r="R117" i="9"/>
  <c r="R118" i="9"/>
  <c r="R119" i="9"/>
  <c r="R120" i="9"/>
  <c r="R121" i="9"/>
  <c r="R122" i="9"/>
  <c r="R123" i="9"/>
  <c r="R124" i="9"/>
  <c r="R125" i="9"/>
  <c r="R126" i="9"/>
  <c r="R127" i="9"/>
  <c r="R128" i="9"/>
  <c r="R129" i="9"/>
  <c r="R130" i="9"/>
  <c r="R131" i="9"/>
  <c r="R132" i="9"/>
  <c r="R133" i="9"/>
  <c r="R134" i="9"/>
  <c r="R135" i="9"/>
  <c r="R136" i="9"/>
  <c r="R137" i="9"/>
  <c r="R138" i="9"/>
  <c r="R139" i="9"/>
  <c r="R140" i="9"/>
  <c r="R141" i="9"/>
  <c r="R142" i="9"/>
  <c r="R143" i="9"/>
  <c r="R144" i="9"/>
  <c r="R145" i="9"/>
  <c r="R146" i="9"/>
  <c r="R147" i="9"/>
  <c r="R148" i="9"/>
  <c r="R149" i="9"/>
  <c r="R150" i="9"/>
  <c r="R151" i="9"/>
  <c r="R152" i="9"/>
  <c r="R153" i="9"/>
  <c r="R154" i="9"/>
  <c r="R155" i="9"/>
  <c r="R156" i="9"/>
  <c r="R157" i="9"/>
  <c r="R158" i="9"/>
  <c r="R159" i="9"/>
  <c r="R160" i="9"/>
  <c r="R161" i="9"/>
  <c r="R162" i="9"/>
  <c r="R163" i="9"/>
  <c r="R164" i="9"/>
  <c r="R165" i="9"/>
  <c r="R166" i="9"/>
  <c r="R167" i="9"/>
  <c r="R168" i="9"/>
  <c r="R169" i="9"/>
  <c r="R170" i="9"/>
  <c r="R171" i="9"/>
  <c r="R172" i="9"/>
  <c r="R173" i="9"/>
  <c r="R174" i="9"/>
  <c r="R175" i="9"/>
  <c r="R176" i="9"/>
  <c r="R177" i="9"/>
  <c r="R184" i="9"/>
  <c r="R186" i="9"/>
  <c r="R187" i="9"/>
  <c r="R188" i="9"/>
  <c r="R189" i="9"/>
  <c r="R190" i="9"/>
  <c r="R191" i="9"/>
  <c r="R192" i="9"/>
  <c r="R193" i="9"/>
  <c r="R194" i="9"/>
  <c r="R195" i="9"/>
  <c r="R196" i="9"/>
  <c r="R197" i="9"/>
  <c r="R198" i="9"/>
  <c r="R199" i="9"/>
  <c r="R200" i="9"/>
  <c r="R201" i="9"/>
  <c r="R202" i="9"/>
  <c r="R203" i="9"/>
  <c r="R204" i="9"/>
  <c r="R205" i="9"/>
  <c r="R206" i="9"/>
  <c r="R207" i="9"/>
  <c r="R208" i="9"/>
  <c r="R209" i="9"/>
  <c r="R210" i="9"/>
  <c r="R211" i="9"/>
  <c r="R212" i="9"/>
  <c r="R213" i="9"/>
  <c r="R214" i="9"/>
  <c r="R215" i="9"/>
  <c r="R216" i="9"/>
  <c r="R217" i="9"/>
  <c r="R218" i="9"/>
  <c r="R219" i="9"/>
  <c r="R220" i="9"/>
  <c r="R221" i="9"/>
  <c r="R222" i="9"/>
  <c r="R223" i="9"/>
  <c r="R224" i="9"/>
  <c r="R225" i="9"/>
  <c r="R226" i="9"/>
  <c r="R227" i="9"/>
  <c r="R228" i="9"/>
  <c r="R229" i="9"/>
  <c r="R230" i="9"/>
  <c r="R231" i="9"/>
  <c r="R232" i="9"/>
  <c r="R233" i="9"/>
  <c r="R234" i="9"/>
  <c r="R235" i="9"/>
  <c r="R236" i="9"/>
  <c r="R237" i="9"/>
  <c r="R238" i="9"/>
  <c r="R239" i="9"/>
  <c r="R240" i="9"/>
  <c r="R241" i="9"/>
  <c r="R242" i="9"/>
  <c r="R243" i="9"/>
  <c r="R246" i="9"/>
  <c r="R247" i="9"/>
  <c r="R248" i="9"/>
  <c r="R249" i="9"/>
  <c r="R250" i="9"/>
  <c r="R251" i="9"/>
  <c r="R252" i="9"/>
  <c r="R253" i="9"/>
  <c r="R254" i="9"/>
  <c r="R255" i="9"/>
  <c r="R256" i="9"/>
  <c r="R257" i="9"/>
  <c r="R258" i="9"/>
  <c r="R259" i="9"/>
  <c r="R260" i="9"/>
  <c r="R261" i="9"/>
  <c r="R262" i="9"/>
  <c r="R263" i="9"/>
  <c r="R264" i="9"/>
  <c r="R265" i="9"/>
  <c r="R266" i="9"/>
  <c r="R267" i="9"/>
  <c r="R268" i="9"/>
  <c r="R269" i="9"/>
  <c r="R270" i="9"/>
  <c r="R271" i="9"/>
  <c r="R272" i="9"/>
  <c r="R273" i="9"/>
  <c r="R274" i="9"/>
  <c r="R275" i="9"/>
  <c r="R276" i="9"/>
  <c r="R277" i="9"/>
  <c r="R278" i="9"/>
  <c r="R279" i="9"/>
  <c r="R280" i="9"/>
  <c r="R281" i="9"/>
  <c r="R282" i="9"/>
  <c r="R283" i="9"/>
  <c r="R284" i="9"/>
  <c r="R285" i="9"/>
  <c r="R286" i="9"/>
  <c r="R287" i="9"/>
  <c r="R288" i="9"/>
  <c r="R289" i="9"/>
  <c r="R290" i="9"/>
  <c r="R291" i="9"/>
  <c r="R292" i="9"/>
  <c r="R293" i="9"/>
  <c r="R294" i="9"/>
  <c r="R295" i="9"/>
  <c r="R296" i="9"/>
  <c r="R297" i="9"/>
  <c r="R298" i="9"/>
  <c r="R299" i="9"/>
  <c r="R300" i="9"/>
  <c r="R301" i="9"/>
  <c r="R302" i="9"/>
  <c r="R303" i="9"/>
  <c r="R304" i="9"/>
  <c r="R305" i="9"/>
  <c r="R306" i="9"/>
  <c r="R307" i="9"/>
  <c r="R308" i="9"/>
  <c r="R309" i="9"/>
  <c r="R310" i="9"/>
  <c r="R311" i="9"/>
  <c r="R312" i="9"/>
  <c r="R313" i="9"/>
  <c r="R314" i="9"/>
  <c r="R315" i="9"/>
  <c r="R316" i="9"/>
  <c r="R317" i="9"/>
  <c r="R318" i="9"/>
  <c r="R319" i="9"/>
  <c r="R320" i="9"/>
  <c r="R321" i="9"/>
  <c r="R322" i="9"/>
  <c r="R323" i="9"/>
  <c r="R324" i="9"/>
  <c r="R325" i="9"/>
  <c r="R326" i="9"/>
  <c r="R327" i="9"/>
  <c r="R328" i="9"/>
  <c r="R329" i="9"/>
  <c r="R330" i="9"/>
  <c r="R331" i="9"/>
  <c r="R332" i="9"/>
  <c r="R333" i="9"/>
  <c r="R334" i="9"/>
  <c r="R335" i="9"/>
  <c r="R336" i="9"/>
  <c r="R337" i="9"/>
  <c r="R338" i="9"/>
  <c r="R339" i="9"/>
  <c r="R340" i="9"/>
  <c r="R341" i="9"/>
  <c r="R342" i="9"/>
  <c r="R343" i="9"/>
  <c r="R344" i="9"/>
  <c r="R345" i="9"/>
  <c r="R346" i="9"/>
  <c r="R347" i="9"/>
  <c r="R348" i="9"/>
  <c r="R349" i="9"/>
  <c r="R350" i="9"/>
  <c r="R351" i="9"/>
  <c r="R352" i="9"/>
  <c r="R353" i="9"/>
  <c r="R354" i="9"/>
  <c r="R355" i="9"/>
  <c r="R356" i="9"/>
  <c r="R357" i="9"/>
  <c r="R358" i="9"/>
  <c r="R359" i="9"/>
  <c r="R360" i="9"/>
  <c r="R361" i="9"/>
  <c r="R362" i="9"/>
  <c r="R363" i="9"/>
  <c r="R364" i="9"/>
  <c r="R365" i="9"/>
  <c r="R366" i="9"/>
  <c r="R367" i="9"/>
  <c r="R368" i="9"/>
  <c r="R369" i="9"/>
  <c r="R370" i="9"/>
  <c r="R371" i="9"/>
  <c r="R372" i="9"/>
  <c r="R373" i="9"/>
  <c r="R374" i="9"/>
  <c r="R375" i="9"/>
  <c r="R376" i="9"/>
  <c r="R377" i="9"/>
  <c r="R378" i="9"/>
  <c r="R379" i="9"/>
  <c r="R380" i="9"/>
  <c r="R381" i="9"/>
  <c r="R382" i="9"/>
  <c r="R383" i="9"/>
  <c r="R384" i="9"/>
  <c r="R385" i="9"/>
  <c r="R386" i="9"/>
  <c r="R387" i="9"/>
  <c r="R388" i="9"/>
  <c r="R389" i="9"/>
  <c r="R390" i="9"/>
  <c r="R391" i="9"/>
  <c r="R392" i="9"/>
  <c r="R393" i="9"/>
  <c r="R394" i="9"/>
  <c r="R395" i="9"/>
  <c r="R396" i="9"/>
  <c r="R397" i="9"/>
  <c r="R398" i="9"/>
  <c r="R399" i="9"/>
  <c r="R400" i="9"/>
  <c r="R401" i="9"/>
  <c r="R402" i="9"/>
  <c r="R403" i="9"/>
  <c r="R404" i="9"/>
  <c r="R405" i="9"/>
  <c r="R406" i="9"/>
  <c r="R407" i="9"/>
  <c r="R408" i="9"/>
  <c r="R409" i="9"/>
  <c r="R410" i="9"/>
  <c r="R411" i="9"/>
  <c r="R412" i="9"/>
  <c r="R413" i="9"/>
  <c r="R414" i="9"/>
  <c r="R415" i="9"/>
  <c r="R416" i="9"/>
  <c r="R417" i="9"/>
  <c r="R418" i="9"/>
  <c r="R419" i="9"/>
  <c r="R420" i="9"/>
  <c r="R421" i="9"/>
  <c r="R422" i="9"/>
  <c r="R423" i="9"/>
  <c r="R424" i="9"/>
  <c r="R425" i="9"/>
  <c r="R426" i="9"/>
  <c r="R427" i="9"/>
  <c r="R428" i="9"/>
  <c r="R429" i="9"/>
  <c r="R430" i="9"/>
  <c r="R431" i="9"/>
  <c r="R432" i="9"/>
  <c r="R433" i="9"/>
  <c r="R434" i="9"/>
  <c r="R435" i="9"/>
  <c r="R436" i="9"/>
  <c r="R437" i="9"/>
  <c r="R438" i="9"/>
  <c r="R439" i="9"/>
  <c r="R440" i="9"/>
  <c r="R441" i="9"/>
  <c r="R442" i="9"/>
  <c r="R443" i="9"/>
  <c r="R444" i="9"/>
  <c r="R445" i="9"/>
  <c r="R446" i="9"/>
  <c r="R447" i="9"/>
  <c r="L3" i="4"/>
  <c r="Q3" i="4"/>
  <c r="Q2" i="4"/>
  <c r="AE89" i="4"/>
  <c r="AE67" i="4"/>
  <c r="AE68" i="4"/>
  <c r="AE93" i="4"/>
  <c r="AE50" i="4"/>
  <c r="AE85" i="4"/>
  <c r="AE84" i="4"/>
  <c r="AE72" i="4"/>
  <c r="AE73" i="4"/>
  <c r="Q13" i="9"/>
  <c r="AE86" i="4"/>
  <c r="AE47" i="4"/>
  <c r="Q9" i="9"/>
  <c r="AE94" i="4"/>
  <c r="AE88" i="4"/>
  <c r="AE87" i="4"/>
  <c r="AE90" i="4"/>
  <c r="AE95" i="4"/>
  <c r="AE65" i="4"/>
  <c r="AE69" i="4"/>
  <c r="AE66" i="4"/>
  <c r="Q10" i="9"/>
  <c r="AE91" i="4"/>
  <c r="Q11" i="9"/>
  <c r="AE63" i="4"/>
  <c r="AE48" i="4"/>
  <c r="AE70" i="4"/>
  <c r="AE62" i="4"/>
  <c r="AE64" i="4"/>
  <c r="AE92" i="4"/>
  <c r="AE71" i="4"/>
  <c r="Q7" i="9"/>
  <c r="AE49" i="4"/>
  <c r="Q14" i="9"/>
  <c r="AA39" i="4" l="1"/>
  <c r="T39" i="4"/>
  <c r="M261" i="110"/>
  <c r="M262" i="110"/>
  <c r="K100" i="110"/>
  <c r="G50" i="3" s="1"/>
  <c r="G696" i="9"/>
  <c r="U695" i="9"/>
  <c r="R695" i="9"/>
  <c r="G609" i="9"/>
  <c r="R608" i="9"/>
  <c r="U608" i="9"/>
  <c r="P648" i="9"/>
  <c r="R485" i="9"/>
  <c r="U485" i="9"/>
  <c r="G486" i="9"/>
  <c r="P506" i="9"/>
  <c r="P669" i="9"/>
  <c r="G671" i="9"/>
  <c r="R670" i="9"/>
  <c r="U670" i="9"/>
  <c r="G553" i="9"/>
  <c r="G554" i="9" s="1"/>
  <c r="U552" i="9"/>
  <c r="R552" i="9"/>
  <c r="U650" i="9"/>
  <c r="R650" i="9"/>
  <c r="G523" i="9"/>
  <c r="U522" i="9"/>
  <c r="P522" i="9" s="1"/>
  <c r="R522" i="9"/>
  <c r="G743" i="9"/>
  <c r="R742" i="9"/>
  <c r="U742" i="9"/>
  <c r="U583" i="9"/>
  <c r="R583" i="9"/>
  <c r="AE20" i="4"/>
  <c r="AF20" i="4" s="1"/>
  <c r="Y43" i="3" l="1"/>
  <c r="Y41" i="3"/>
  <c r="J41" i="3"/>
  <c r="Y42" i="3"/>
  <c r="J42" i="3"/>
  <c r="Y44" i="3"/>
  <c r="J44" i="3"/>
  <c r="G524" i="9"/>
  <c r="R523" i="9"/>
  <c r="U523" i="9"/>
  <c r="P523" i="9" s="1"/>
  <c r="P670" i="9"/>
  <c r="U671" i="9"/>
  <c r="R671" i="9"/>
  <c r="P508" i="9"/>
  <c r="P507" i="9"/>
  <c r="R553" i="9"/>
  <c r="U553" i="9"/>
  <c r="G697" i="9"/>
  <c r="G698" i="9" s="1"/>
  <c r="U696" i="9"/>
  <c r="R696" i="9"/>
  <c r="G610" i="9"/>
  <c r="U609" i="9"/>
  <c r="R609" i="9"/>
  <c r="G585" i="9"/>
  <c r="R584" i="9"/>
  <c r="U584" i="9"/>
  <c r="G744" i="9"/>
  <c r="R743" i="9"/>
  <c r="U743" i="9"/>
  <c r="R486" i="9"/>
  <c r="U486" i="9"/>
  <c r="G487" i="9"/>
  <c r="P650" i="9"/>
  <c r="P649" i="9"/>
  <c r="S6" i="9"/>
  <c r="S7" i="9" s="1"/>
  <c r="S8" i="9" s="1"/>
  <c r="S9" i="9" s="1"/>
  <c r="S10" i="9" s="1"/>
  <c r="L38" i="9"/>
  <c r="K38" i="9"/>
  <c r="S787" i="9"/>
  <c r="P787" i="9" s="1"/>
  <c r="S788" i="9"/>
  <c r="P788" i="9" s="1"/>
  <c r="S789" i="9"/>
  <c r="S790" i="9"/>
  <c r="S791" i="9"/>
  <c r="S792" i="9"/>
  <c r="S793" i="9"/>
  <c r="S794" i="9"/>
  <c r="S795" i="9"/>
  <c r="P795" i="9" s="1"/>
  <c r="S796" i="9"/>
  <c r="P796" i="9" s="1"/>
  <c r="S797" i="9"/>
  <c r="P797" i="9" s="1"/>
  <c r="S798" i="9"/>
  <c r="P798" i="9" s="1"/>
  <c r="S799" i="9"/>
  <c r="P799" i="9" s="1"/>
  <c r="S800" i="9"/>
  <c r="P800" i="9" s="1"/>
  <c r="S801" i="9"/>
  <c r="P801" i="9" s="1"/>
  <c r="S802" i="9"/>
  <c r="P802" i="9" s="1"/>
  <c r="S803" i="9"/>
  <c r="P803" i="9" s="1"/>
  <c r="S804" i="9"/>
  <c r="P804" i="9" s="1"/>
  <c r="S805" i="9"/>
  <c r="P805" i="9" s="1"/>
  <c r="S806" i="9"/>
  <c r="P806" i="9" s="1"/>
  <c r="S807" i="9"/>
  <c r="P807" i="9" s="1"/>
  <c r="S808" i="9"/>
  <c r="P808" i="9" s="1"/>
  <c r="S809" i="9"/>
  <c r="P809" i="9" s="1"/>
  <c r="S810" i="9"/>
  <c r="P810" i="9" s="1"/>
  <c r="S811" i="9"/>
  <c r="P811" i="9" s="1"/>
  <c r="S812" i="9"/>
  <c r="P812" i="9" s="1"/>
  <c r="S813" i="9"/>
  <c r="P813" i="9" s="1"/>
  <c r="S814" i="9"/>
  <c r="P814" i="9" s="1"/>
  <c r="S815" i="9"/>
  <c r="P815" i="9" s="1"/>
  <c r="S816" i="9"/>
  <c r="P816" i="9" s="1"/>
  <c r="S817" i="9"/>
  <c r="P817" i="9" s="1"/>
  <c r="S818" i="9"/>
  <c r="P818" i="9" s="1"/>
  <c r="S819" i="9"/>
  <c r="P819" i="9" s="1"/>
  <c r="S820" i="9"/>
  <c r="P820" i="9" s="1"/>
  <c r="S821" i="9"/>
  <c r="P821" i="9" s="1"/>
  <c r="S822" i="9"/>
  <c r="P822" i="9" s="1"/>
  <c r="S823" i="9"/>
  <c r="P823" i="9" s="1"/>
  <c r="S824" i="9"/>
  <c r="P824" i="9" s="1"/>
  <c r="S825" i="9"/>
  <c r="P825" i="9" s="1"/>
  <c r="S826" i="9"/>
  <c r="P826" i="9" s="1"/>
  <c r="S827" i="9"/>
  <c r="P827" i="9" s="1"/>
  <c r="S828" i="9"/>
  <c r="P828" i="9" s="1"/>
  <c r="S829" i="9"/>
  <c r="P829" i="9" s="1"/>
  <c r="S830" i="9"/>
  <c r="P830" i="9" s="1"/>
  <c r="S831" i="9"/>
  <c r="P831" i="9" s="1"/>
  <c r="S832" i="9"/>
  <c r="P832" i="9" s="1"/>
  <c r="S833" i="9"/>
  <c r="P833" i="9" s="1"/>
  <c r="S834" i="9"/>
  <c r="P834" i="9" s="1"/>
  <c r="S835" i="9"/>
  <c r="P835" i="9" s="1"/>
  <c r="S836" i="9"/>
  <c r="P836" i="9" s="1"/>
  <c r="S837" i="9"/>
  <c r="P837" i="9" s="1"/>
  <c r="S838" i="9"/>
  <c r="P838" i="9" s="1"/>
  <c r="S839" i="9"/>
  <c r="P839" i="9" s="1"/>
  <c r="S840" i="9"/>
  <c r="P840" i="9" s="1"/>
  <c r="S841" i="9"/>
  <c r="P841" i="9" s="1"/>
  <c r="S842" i="9"/>
  <c r="P842" i="9" s="1"/>
  <c r="S843" i="9"/>
  <c r="P843" i="9" s="1"/>
  <c r="S844" i="9"/>
  <c r="P844" i="9" s="1"/>
  <c r="S845" i="9"/>
  <c r="P845" i="9" s="1"/>
  <c r="S846" i="9"/>
  <c r="P846" i="9" s="1"/>
  <c r="S847" i="9"/>
  <c r="P847" i="9" s="1"/>
  <c r="S848" i="9"/>
  <c r="P848" i="9" s="1"/>
  <c r="S849" i="9"/>
  <c r="P849" i="9" s="1"/>
  <c r="S850" i="9"/>
  <c r="P850" i="9" s="1"/>
  <c r="S851" i="9"/>
  <c r="P851" i="9" s="1"/>
  <c r="S852" i="9"/>
  <c r="P852" i="9" s="1"/>
  <c r="S853" i="9"/>
  <c r="P853" i="9" s="1"/>
  <c r="S854" i="9"/>
  <c r="P854" i="9" s="1"/>
  <c r="S855" i="9"/>
  <c r="P855" i="9" s="1"/>
  <c r="S856" i="9"/>
  <c r="P856" i="9" s="1"/>
  <c r="S857" i="9"/>
  <c r="P857" i="9" s="1"/>
  <c r="S858" i="9"/>
  <c r="P858" i="9" s="1"/>
  <c r="S859" i="9"/>
  <c r="P859" i="9" s="1"/>
  <c r="S860" i="9"/>
  <c r="P860" i="9" s="1"/>
  <c r="S861" i="9"/>
  <c r="P861" i="9" s="1"/>
  <c r="S862" i="9"/>
  <c r="P862" i="9" s="1"/>
  <c r="S863" i="9"/>
  <c r="P863" i="9" s="1"/>
  <c r="S864" i="9"/>
  <c r="P864" i="9" s="1"/>
  <c r="S865" i="9"/>
  <c r="P865" i="9" s="1"/>
  <c r="S866" i="9"/>
  <c r="P866" i="9" s="1"/>
  <c r="S867" i="9"/>
  <c r="S868" i="9"/>
  <c r="S869" i="9"/>
  <c r="S870" i="9"/>
  <c r="S871" i="9"/>
  <c r="S872" i="9"/>
  <c r="S873" i="9"/>
  <c r="P873" i="9" s="1"/>
  <c r="S874" i="9"/>
  <c r="S875" i="9"/>
  <c r="S876" i="9"/>
  <c r="P876" i="9" s="1"/>
  <c r="S877" i="9"/>
  <c r="P877" i="9" s="1"/>
  <c r="S878" i="9"/>
  <c r="P878" i="9" s="1"/>
  <c r="S879" i="9"/>
  <c r="P879" i="9" s="1"/>
  <c r="S880" i="9"/>
  <c r="P880" i="9" s="1"/>
  <c r="S881" i="9"/>
  <c r="P881" i="9" s="1"/>
  <c r="S882" i="9"/>
  <c r="P882" i="9" s="1"/>
  <c r="S883" i="9"/>
  <c r="P883" i="9" s="1"/>
  <c r="S884" i="9"/>
  <c r="P884" i="9" s="1"/>
  <c r="S885" i="9"/>
  <c r="P885" i="9" s="1"/>
  <c r="S886" i="9"/>
  <c r="P886" i="9" s="1"/>
  <c r="S887" i="9"/>
  <c r="P887" i="9" s="1"/>
  <c r="S888" i="9"/>
  <c r="P888" i="9" s="1"/>
  <c r="S889" i="9"/>
  <c r="P889" i="9" s="1"/>
  <c r="S890" i="9"/>
  <c r="P890" i="9" s="1"/>
  <c r="S891" i="9"/>
  <c r="P891" i="9" s="1"/>
  <c r="S892" i="9"/>
  <c r="P892" i="9" s="1"/>
  <c r="S893" i="9"/>
  <c r="P893" i="9" s="1"/>
  <c r="S894" i="9"/>
  <c r="P894" i="9" s="1"/>
  <c r="S895" i="9"/>
  <c r="P895" i="9" s="1"/>
  <c r="S896" i="9"/>
  <c r="P896" i="9" s="1"/>
  <c r="S897" i="9"/>
  <c r="P897" i="9" s="1"/>
  <c r="S898" i="9"/>
  <c r="P898" i="9" s="1"/>
  <c r="S899" i="9"/>
  <c r="P899" i="9" s="1"/>
  <c r="S900" i="9"/>
  <c r="P900" i="9" s="1"/>
  <c r="S901" i="9"/>
  <c r="P901" i="9" s="1"/>
  <c r="S902" i="9"/>
  <c r="S903" i="9"/>
  <c r="S904" i="9"/>
  <c r="S905" i="9"/>
  <c r="S906" i="9"/>
  <c r="S907" i="9"/>
  <c r="S908" i="9"/>
  <c r="S909" i="9"/>
  <c r="S910" i="9"/>
  <c r="S911" i="9"/>
  <c r="S912" i="9"/>
  <c r="S913" i="9"/>
  <c r="S786" i="9"/>
  <c r="P786" i="9" s="1"/>
  <c r="G699" i="9" l="1"/>
  <c r="U698" i="9"/>
  <c r="R698" i="9"/>
  <c r="J43" i="3"/>
  <c r="F97" i="1"/>
  <c r="U697" i="9"/>
  <c r="R697" i="9"/>
  <c r="U554" i="9"/>
  <c r="R554" i="9"/>
  <c r="G586" i="9"/>
  <c r="U585" i="9"/>
  <c r="R585" i="9"/>
  <c r="P671" i="9"/>
  <c r="G745" i="9"/>
  <c r="U744" i="9"/>
  <c r="R744" i="9"/>
  <c r="U487" i="9"/>
  <c r="R487" i="9"/>
  <c r="G611" i="9"/>
  <c r="R610" i="9"/>
  <c r="U610" i="9"/>
  <c r="G525" i="9"/>
  <c r="R524" i="9"/>
  <c r="U524" i="9"/>
  <c r="P524" i="9" s="1"/>
  <c r="S424" i="9"/>
  <c r="Q424" i="9" s="1"/>
  <c r="S425" i="9"/>
  <c r="Q425" i="9" s="1"/>
  <c r="S426" i="9"/>
  <c r="Q426" i="9" s="1"/>
  <c r="S427" i="9"/>
  <c r="Q427" i="9" s="1"/>
  <c r="S428" i="9"/>
  <c r="Q428" i="9" s="1"/>
  <c r="S429" i="9"/>
  <c r="Q429" i="9" s="1"/>
  <c r="S430" i="9"/>
  <c r="Q430" i="9" s="1"/>
  <c r="S431" i="9"/>
  <c r="Q431" i="9" s="1"/>
  <c r="S432" i="9"/>
  <c r="Q432" i="9" s="1"/>
  <c r="S433" i="9"/>
  <c r="Q433" i="9" s="1"/>
  <c r="S434" i="9"/>
  <c r="S445" i="9"/>
  <c r="Q445" i="9" s="1"/>
  <c r="S446" i="9"/>
  <c r="Q446" i="9" s="1"/>
  <c r="S447" i="9"/>
  <c r="Q447" i="9" s="1"/>
  <c r="S418" i="9"/>
  <c r="Q418" i="9" s="1"/>
  <c r="S419" i="9"/>
  <c r="Q419" i="9" s="1"/>
  <c r="S420" i="9"/>
  <c r="Q420" i="9" s="1"/>
  <c r="S421" i="9"/>
  <c r="Q421" i="9" s="1"/>
  <c r="S422" i="9"/>
  <c r="Q422" i="9" s="1"/>
  <c r="S423" i="9"/>
  <c r="Q423" i="9" s="1"/>
  <c r="T917" i="9"/>
  <c r="P917" i="9" s="1"/>
  <c r="T916" i="9"/>
  <c r="P916" i="9" s="1"/>
  <c r="T915" i="9"/>
  <c r="P915" i="9" s="1"/>
  <c r="T914" i="9"/>
  <c r="P914" i="9" s="1"/>
  <c r="T913" i="9"/>
  <c r="P913" i="9" s="1"/>
  <c r="T912" i="9"/>
  <c r="P912" i="9" s="1"/>
  <c r="T911" i="9"/>
  <c r="P911" i="9" s="1"/>
  <c r="T910" i="9"/>
  <c r="P910" i="9" s="1"/>
  <c r="T909" i="9"/>
  <c r="P909" i="9" s="1"/>
  <c r="T908" i="9"/>
  <c r="P908" i="9" s="1"/>
  <c r="T907" i="9"/>
  <c r="P907" i="9" s="1"/>
  <c r="T906" i="9"/>
  <c r="P906" i="9" s="1"/>
  <c r="T905" i="9"/>
  <c r="P905" i="9" s="1"/>
  <c r="T904" i="9"/>
  <c r="P904" i="9" s="1"/>
  <c r="T903" i="9"/>
  <c r="P903" i="9" s="1"/>
  <c r="T902" i="9"/>
  <c r="P902" i="9" s="1"/>
  <c r="T875" i="9"/>
  <c r="P875" i="9" s="1"/>
  <c r="T874" i="9"/>
  <c r="P874" i="9" s="1"/>
  <c r="T872" i="9"/>
  <c r="P872" i="9" s="1"/>
  <c r="T871" i="9"/>
  <c r="P871" i="9" s="1"/>
  <c r="T870" i="9"/>
  <c r="P870" i="9" s="1"/>
  <c r="T869" i="9"/>
  <c r="P869" i="9" s="1"/>
  <c r="T868" i="9"/>
  <c r="P868" i="9" s="1"/>
  <c r="T867" i="9"/>
  <c r="P867" i="9" s="1"/>
  <c r="T794" i="9"/>
  <c r="P794" i="9" s="1"/>
  <c r="T793" i="9"/>
  <c r="P793" i="9" s="1"/>
  <c r="T792" i="9"/>
  <c r="P792" i="9" s="1"/>
  <c r="T791" i="9"/>
  <c r="P791" i="9" s="1"/>
  <c r="T790" i="9"/>
  <c r="P790" i="9" s="1"/>
  <c r="T789" i="9"/>
  <c r="P789" i="9" s="1"/>
  <c r="T444" i="9"/>
  <c r="T443" i="9"/>
  <c r="T442" i="9"/>
  <c r="T441" i="9"/>
  <c r="T440" i="9"/>
  <c r="T439" i="9"/>
  <c r="T438" i="9"/>
  <c r="T437" i="9"/>
  <c r="T436" i="9"/>
  <c r="T435" i="9"/>
  <c r="T434" i="9"/>
  <c r="T412" i="9"/>
  <c r="T411" i="9"/>
  <c r="T410" i="9"/>
  <c r="T409" i="9"/>
  <c r="T408" i="9"/>
  <c r="T407" i="9"/>
  <c r="T406" i="9"/>
  <c r="T405" i="9"/>
  <c r="T404" i="9"/>
  <c r="T403" i="9"/>
  <c r="T402" i="9"/>
  <c r="T401" i="9"/>
  <c r="T400" i="9"/>
  <c r="T399" i="9"/>
  <c r="T398" i="9"/>
  <c r="T397" i="9"/>
  <c r="T396" i="9"/>
  <c r="T395" i="9"/>
  <c r="T394" i="9"/>
  <c r="T393" i="9"/>
  <c r="T392" i="9"/>
  <c r="T391" i="9"/>
  <c r="T390" i="9"/>
  <c r="T389" i="9"/>
  <c r="Q389" i="9" s="1"/>
  <c r="T388" i="9"/>
  <c r="T387" i="9"/>
  <c r="T386" i="9"/>
  <c r="T385" i="9"/>
  <c r="T384" i="9"/>
  <c r="T383" i="9"/>
  <c r="T382" i="9"/>
  <c r="T381" i="9"/>
  <c r="T380" i="9"/>
  <c r="Q380" i="9" s="1"/>
  <c r="T379" i="9"/>
  <c r="T378" i="9"/>
  <c r="T377" i="9"/>
  <c r="T376" i="9"/>
  <c r="T375" i="9"/>
  <c r="T374" i="9"/>
  <c r="T373" i="9"/>
  <c r="T372" i="9"/>
  <c r="T371" i="9"/>
  <c r="Q371" i="9" s="1"/>
  <c r="T370" i="9"/>
  <c r="T369" i="9"/>
  <c r="T368" i="9"/>
  <c r="T367" i="9"/>
  <c r="T366" i="9"/>
  <c r="T365" i="9"/>
  <c r="T364" i="9"/>
  <c r="T363" i="9"/>
  <c r="T362" i="9"/>
  <c r="T361" i="9"/>
  <c r="T360" i="9"/>
  <c r="T359" i="9"/>
  <c r="T358" i="9"/>
  <c r="T357" i="9"/>
  <c r="Q357" i="9" s="1"/>
  <c r="T356" i="9"/>
  <c r="T355" i="9"/>
  <c r="T354" i="9"/>
  <c r="T353" i="9"/>
  <c r="T352" i="9"/>
  <c r="T351" i="9"/>
  <c r="T350" i="9"/>
  <c r="T349" i="9"/>
  <c r="T348" i="9"/>
  <c r="Q348" i="9" s="1"/>
  <c r="T347" i="9"/>
  <c r="T346" i="9"/>
  <c r="T345" i="9"/>
  <c r="T344" i="9"/>
  <c r="T343" i="9"/>
  <c r="T342" i="9"/>
  <c r="T341" i="9"/>
  <c r="T340" i="9"/>
  <c r="T339" i="9"/>
  <c r="Q339" i="9" s="1"/>
  <c r="T338" i="9"/>
  <c r="T337" i="9"/>
  <c r="T336" i="9"/>
  <c r="T335" i="9"/>
  <c r="T334" i="9"/>
  <c r="T333" i="9"/>
  <c r="T332" i="9"/>
  <c r="T331" i="9"/>
  <c r="T330" i="9"/>
  <c r="Q330" i="9" s="1"/>
  <c r="T329" i="9"/>
  <c r="T328" i="9"/>
  <c r="T327" i="9"/>
  <c r="T326" i="9"/>
  <c r="T325" i="9"/>
  <c r="T324" i="9"/>
  <c r="T323" i="9"/>
  <c r="T322" i="9"/>
  <c r="T321" i="9"/>
  <c r="Q321" i="9" s="1"/>
  <c r="T320" i="9"/>
  <c r="T319" i="9"/>
  <c r="T318" i="9"/>
  <c r="T317" i="9"/>
  <c r="T316" i="9"/>
  <c r="T315" i="9"/>
  <c r="T314" i="9"/>
  <c r="T313" i="9"/>
  <c r="T312" i="9"/>
  <c r="Q312" i="9" s="1"/>
  <c r="T311" i="9"/>
  <c r="T310" i="9"/>
  <c r="T309" i="9"/>
  <c r="T308" i="9"/>
  <c r="T307" i="9"/>
  <c r="T306" i="9"/>
  <c r="T305" i="9"/>
  <c r="T304" i="9"/>
  <c r="T303" i="9"/>
  <c r="T302" i="9"/>
  <c r="T301" i="9"/>
  <c r="T300" i="9"/>
  <c r="Q300" i="9" s="1"/>
  <c r="T299" i="9"/>
  <c r="T298" i="9"/>
  <c r="T297" i="9"/>
  <c r="T296" i="9"/>
  <c r="T295" i="9"/>
  <c r="T294" i="9"/>
  <c r="T293" i="9"/>
  <c r="T292" i="9"/>
  <c r="Q292" i="9" s="1"/>
  <c r="T291" i="9"/>
  <c r="T290" i="9"/>
  <c r="T289" i="9"/>
  <c r="T288" i="9"/>
  <c r="T287" i="9"/>
  <c r="T286" i="9"/>
  <c r="T285" i="9"/>
  <c r="T284" i="9"/>
  <c r="Q284" i="9" s="1"/>
  <c r="T283" i="9"/>
  <c r="T282" i="9"/>
  <c r="T281" i="9"/>
  <c r="T280" i="9"/>
  <c r="T279" i="9"/>
  <c r="T278" i="9"/>
  <c r="T277" i="9"/>
  <c r="T276" i="9"/>
  <c r="T275" i="9"/>
  <c r="T274" i="9"/>
  <c r="T273" i="9"/>
  <c r="T272" i="9"/>
  <c r="Q272" i="9" s="1"/>
  <c r="T271" i="9"/>
  <c r="T270" i="9"/>
  <c r="T269" i="9"/>
  <c r="T268" i="9"/>
  <c r="T267" i="9"/>
  <c r="T266" i="9"/>
  <c r="T265" i="9"/>
  <c r="T264" i="9"/>
  <c r="Q264" i="9" s="1"/>
  <c r="T263" i="9"/>
  <c r="T262" i="9"/>
  <c r="T261" i="9"/>
  <c r="T260" i="9"/>
  <c r="T259" i="9"/>
  <c r="T258" i="9"/>
  <c r="T257" i="9"/>
  <c r="T256" i="9"/>
  <c r="Q256" i="9" s="1"/>
  <c r="T255" i="9"/>
  <c r="Q255" i="9" s="1"/>
  <c r="T254" i="9"/>
  <c r="Q254" i="9" s="1"/>
  <c r="T253" i="9"/>
  <c r="Q253" i="9" s="1"/>
  <c r="T252" i="9"/>
  <c r="Q252" i="9" s="1"/>
  <c r="T251" i="9"/>
  <c r="Q251" i="9" s="1"/>
  <c r="T250" i="9"/>
  <c r="Q250" i="9" s="1"/>
  <c r="T249" i="9"/>
  <c r="Q249" i="9" s="1"/>
  <c r="T248" i="9"/>
  <c r="Q248" i="9" s="1"/>
  <c r="T247" i="9"/>
  <c r="Q247" i="9" s="1"/>
  <c r="T246" i="9"/>
  <c r="Q246" i="9" s="1"/>
  <c r="T243" i="9"/>
  <c r="Q243" i="9" s="1"/>
  <c r="T242" i="9"/>
  <c r="Q242" i="9" s="1"/>
  <c r="T241" i="9"/>
  <c r="Q241" i="9" s="1"/>
  <c r="T240" i="9"/>
  <c r="Q240" i="9" s="1"/>
  <c r="T239" i="9"/>
  <c r="Q239" i="9" s="1"/>
  <c r="T238" i="9"/>
  <c r="Q238" i="9" s="1"/>
  <c r="T237" i="9"/>
  <c r="Q237" i="9" s="1"/>
  <c r="T236" i="9"/>
  <c r="T235" i="9"/>
  <c r="T234" i="9"/>
  <c r="T233" i="9"/>
  <c r="T232" i="9"/>
  <c r="T231" i="9"/>
  <c r="T230" i="9"/>
  <c r="T229" i="9"/>
  <c r="T228" i="9"/>
  <c r="T227" i="9"/>
  <c r="Q227" i="9" s="1"/>
  <c r="T226" i="9"/>
  <c r="T225" i="9"/>
  <c r="T224" i="9"/>
  <c r="T223" i="9"/>
  <c r="T222" i="9"/>
  <c r="T221" i="9"/>
  <c r="T220" i="9"/>
  <c r="T219" i="9"/>
  <c r="T218" i="9"/>
  <c r="T217" i="9"/>
  <c r="Q217" i="9" s="1"/>
  <c r="T216" i="9"/>
  <c r="T215" i="9"/>
  <c r="T214" i="9"/>
  <c r="T213" i="9"/>
  <c r="T212" i="9"/>
  <c r="T211" i="9"/>
  <c r="T210" i="9"/>
  <c r="T209" i="9"/>
  <c r="T208" i="9"/>
  <c r="T207" i="9"/>
  <c r="Q207" i="9" s="1"/>
  <c r="T206" i="9"/>
  <c r="T205" i="9"/>
  <c r="T204" i="9"/>
  <c r="T203" i="9"/>
  <c r="T202" i="9"/>
  <c r="T201" i="9"/>
  <c r="T200" i="9"/>
  <c r="T199" i="9"/>
  <c r="T198" i="9"/>
  <c r="T197" i="9"/>
  <c r="T196" i="9"/>
  <c r="Q196" i="9" s="1"/>
  <c r="T195" i="9"/>
  <c r="Q195" i="9" s="1"/>
  <c r="T194" i="9"/>
  <c r="Q194" i="9" s="1"/>
  <c r="T193" i="9"/>
  <c r="Q193" i="9" s="1"/>
  <c r="T192" i="9"/>
  <c r="Q192" i="9" s="1"/>
  <c r="T191" i="9"/>
  <c r="Q191" i="9" s="1"/>
  <c r="T190" i="9"/>
  <c r="Q190" i="9" s="1"/>
  <c r="T189" i="9"/>
  <c r="Q189" i="9" s="1"/>
  <c r="T188" i="9"/>
  <c r="Q188" i="9" s="1"/>
  <c r="T187" i="9"/>
  <c r="Q187" i="9" s="1"/>
  <c r="T186" i="9"/>
  <c r="Q186" i="9" s="1"/>
  <c r="T184" i="9"/>
  <c r="T177" i="9"/>
  <c r="T176" i="9"/>
  <c r="T175" i="9"/>
  <c r="T174" i="9"/>
  <c r="T173" i="9"/>
  <c r="T172" i="9"/>
  <c r="T171" i="9"/>
  <c r="T170" i="9"/>
  <c r="T169" i="9"/>
  <c r="T168" i="9"/>
  <c r="Q168" i="9" s="1"/>
  <c r="T167" i="9"/>
  <c r="Q167" i="9" s="1"/>
  <c r="T166" i="9"/>
  <c r="Q166" i="9" s="1"/>
  <c r="T165" i="9"/>
  <c r="Q165" i="9" s="1"/>
  <c r="T164" i="9"/>
  <c r="Q164" i="9" s="1"/>
  <c r="T163" i="9"/>
  <c r="Q163" i="9" s="1"/>
  <c r="T162" i="9"/>
  <c r="Q162" i="9" s="1"/>
  <c r="T161" i="9"/>
  <c r="Q161" i="9" s="1"/>
  <c r="T160" i="9"/>
  <c r="Q160" i="9" s="1"/>
  <c r="T159" i="9"/>
  <c r="Q159" i="9" s="1"/>
  <c r="T158" i="9"/>
  <c r="Q158" i="9" s="1"/>
  <c r="T157" i="9"/>
  <c r="Q157" i="9" s="1"/>
  <c r="T156" i="9"/>
  <c r="Q156" i="9" s="1"/>
  <c r="T155" i="9"/>
  <c r="Q155" i="9" s="1"/>
  <c r="T154" i="9"/>
  <c r="Q154" i="9" s="1"/>
  <c r="T153" i="9"/>
  <c r="Q153" i="9" s="1"/>
  <c r="T152" i="9"/>
  <c r="Q152" i="9" s="1"/>
  <c r="T151" i="9"/>
  <c r="Q151" i="9" s="1"/>
  <c r="T150" i="9"/>
  <c r="Q150" i="9" s="1"/>
  <c r="T149" i="9"/>
  <c r="Q149" i="9" s="1"/>
  <c r="T148" i="9"/>
  <c r="Q148" i="9" s="1"/>
  <c r="T147" i="9"/>
  <c r="Q147" i="9" s="1"/>
  <c r="T146" i="9"/>
  <c r="Q146" i="9" s="1"/>
  <c r="T145" i="9"/>
  <c r="Q145" i="9" s="1"/>
  <c r="T144" i="9"/>
  <c r="Q144" i="9" s="1"/>
  <c r="T143" i="9"/>
  <c r="Q143" i="9" s="1"/>
  <c r="T142" i="9"/>
  <c r="Q142" i="9" s="1"/>
  <c r="T141" i="9"/>
  <c r="Q141" i="9" s="1"/>
  <c r="T140" i="9"/>
  <c r="Q140" i="9" s="1"/>
  <c r="T139" i="9"/>
  <c r="Q139" i="9" s="1"/>
  <c r="T138" i="9"/>
  <c r="Q138" i="9" s="1"/>
  <c r="T137" i="9"/>
  <c r="Q137" i="9" s="1"/>
  <c r="T136" i="9"/>
  <c r="Q136" i="9" s="1"/>
  <c r="T135" i="9"/>
  <c r="Q135" i="9" s="1"/>
  <c r="T134" i="9"/>
  <c r="Q134" i="9" s="1"/>
  <c r="T133" i="9"/>
  <c r="Q133" i="9" s="1"/>
  <c r="T132" i="9"/>
  <c r="Q132" i="9" s="1"/>
  <c r="T131" i="9"/>
  <c r="Q131" i="9" s="1"/>
  <c r="T130" i="9"/>
  <c r="Q130" i="9" s="1"/>
  <c r="T129" i="9"/>
  <c r="Q129" i="9" s="1"/>
  <c r="T128" i="9"/>
  <c r="Q128" i="9" s="1"/>
  <c r="T127" i="9"/>
  <c r="Q127" i="9" s="1"/>
  <c r="T126" i="9"/>
  <c r="Q126" i="9" s="1"/>
  <c r="T125" i="9"/>
  <c r="Q125" i="9" s="1"/>
  <c r="T124" i="9"/>
  <c r="Q124" i="9" s="1"/>
  <c r="T123" i="9"/>
  <c r="Q123" i="9" s="1"/>
  <c r="T122" i="9"/>
  <c r="Q122" i="9" s="1"/>
  <c r="T121" i="9"/>
  <c r="Q121" i="9" s="1"/>
  <c r="T120" i="9"/>
  <c r="Q120" i="9" s="1"/>
  <c r="T119" i="9"/>
  <c r="Q119" i="9" s="1"/>
  <c r="T118" i="9"/>
  <c r="Q118" i="9" s="1"/>
  <c r="T117" i="9"/>
  <c r="Q117" i="9" s="1"/>
  <c r="T116" i="9"/>
  <c r="Q116" i="9" s="1"/>
  <c r="T115" i="9"/>
  <c r="Q115" i="9" s="1"/>
  <c r="T114" i="9"/>
  <c r="Q114" i="9" s="1"/>
  <c r="T113" i="9"/>
  <c r="Q113" i="9" s="1"/>
  <c r="T112" i="9"/>
  <c r="Q112" i="9" s="1"/>
  <c r="T111" i="9"/>
  <c r="Q111" i="9" s="1"/>
  <c r="T110" i="9"/>
  <c r="T109" i="9"/>
  <c r="T108" i="9"/>
  <c r="T107" i="9"/>
  <c r="T106" i="9"/>
  <c r="T105" i="9"/>
  <c r="T104" i="9"/>
  <c r="T103" i="9"/>
  <c r="T102" i="9"/>
  <c r="T101" i="9"/>
  <c r="T100" i="9"/>
  <c r="T99" i="9"/>
  <c r="T98" i="9"/>
  <c r="Q98" i="9" s="1"/>
  <c r="T97" i="9"/>
  <c r="Q97" i="9" s="1"/>
  <c r="T96" i="9"/>
  <c r="Q96" i="9" s="1"/>
  <c r="T95" i="9"/>
  <c r="Q95" i="9" s="1"/>
  <c r="T94" i="9"/>
  <c r="Q94" i="9" s="1"/>
  <c r="T93" i="9"/>
  <c r="Q93" i="9" s="1"/>
  <c r="T92" i="9"/>
  <c r="Q92" i="9" s="1"/>
  <c r="T91" i="9"/>
  <c r="Q91" i="9" s="1"/>
  <c r="T90" i="9"/>
  <c r="Q90" i="9" s="1"/>
  <c r="T89" i="9"/>
  <c r="Q89" i="9" s="1"/>
  <c r="T88" i="9"/>
  <c r="Q88" i="9" s="1"/>
  <c r="T86" i="9"/>
  <c r="T85" i="9"/>
  <c r="T81" i="9"/>
  <c r="T80" i="9"/>
  <c r="T79" i="9"/>
  <c r="T78" i="9"/>
  <c r="T77" i="9"/>
  <c r="T76" i="9"/>
  <c r="Q76" i="9" s="1"/>
  <c r="T75" i="9"/>
  <c r="Q75" i="9" s="1"/>
  <c r="T69" i="9"/>
  <c r="T70" i="9"/>
  <c r="T68" i="9"/>
  <c r="S413" i="9"/>
  <c r="Q413" i="9" s="1"/>
  <c r="S414" i="9"/>
  <c r="Q414" i="9" s="1"/>
  <c r="S415" i="9"/>
  <c r="Q415" i="9" s="1"/>
  <c r="S416" i="9"/>
  <c r="Q416" i="9" s="1"/>
  <c r="S417" i="9"/>
  <c r="Q417" i="9" s="1"/>
  <c r="S403" i="9"/>
  <c r="S169" i="9"/>
  <c r="S174" i="9"/>
  <c r="S184" i="9"/>
  <c r="S87" i="9"/>
  <c r="Q87" i="9" s="1"/>
  <c r="S99" i="9"/>
  <c r="S61" i="9"/>
  <c r="Q61" i="9" s="1"/>
  <c r="S68" i="9"/>
  <c r="S71" i="9"/>
  <c r="Q71" i="9" s="1"/>
  <c r="S72" i="9"/>
  <c r="Q72" i="9" s="1"/>
  <c r="S73" i="9"/>
  <c r="Q73" i="9" s="1"/>
  <c r="S74" i="9"/>
  <c r="Q74" i="9" s="1"/>
  <c r="S77" i="9"/>
  <c r="S82" i="9"/>
  <c r="Q82" i="9" s="1"/>
  <c r="S83" i="9"/>
  <c r="Q83" i="9" s="1"/>
  <c r="S84" i="9"/>
  <c r="Q84" i="9" s="1"/>
  <c r="S85" i="9"/>
  <c r="S60" i="9"/>
  <c r="Q60" i="9" s="1"/>
  <c r="X11" i="9"/>
  <c r="Y11" i="9" s="1"/>
  <c r="X12" i="9"/>
  <c r="Y12" i="9" s="1"/>
  <c r="X10" i="9"/>
  <c r="Y10" i="9" s="1"/>
  <c r="W11" i="9"/>
  <c r="W12" i="9"/>
  <c r="W10" i="9"/>
  <c r="AE44" i="4"/>
  <c r="AE51" i="4"/>
  <c r="AE40" i="4"/>
  <c r="AE42" i="4"/>
  <c r="AE43" i="4"/>
  <c r="AE46" i="4"/>
  <c r="AE41" i="4"/>
  <c r="AE45" i="4"/>
  <c r="J162" i="4" l="1"/>
  <c r="J184" i="4"/>
  <c r="J171" i="4"/>
  <c r="J149" i="4"/>
  <c r="G700" i="9"/>
  <c r="R699" i="9"/>
  <c r="U699" i="9"/>
  <c r="Q85" i="9"/>
  <c r="J118" i="4"/>
  <c r="J140" i="4"/>
  <c r="J105" i="4"/>
  <c r="J127" i="4"/>
  <c r="G612" i="9"/>
  <c r="R611" i="9"/>
  <c r="U611" i="9"/>
  <c r="G526" i="9"/>
  <c r="U525" i="9"/>
  <c r="P525" i="9" s="1"/>
  <c r="R525" i="9"/>
  <c r="G746" i="9"/>
  <c r="R745" i="9"/>
  <c r="U745" i="9"/>
  <c r="G587" i="9"/>
  <c r="G588" i="9" s="1"/>
  <c r="U586" i="9"/>
  <c r="R586" i="9"/>
  <c r="Q99" i="9"/>
  <c r="Q68" i="9"/>
  <c r="Q184" i="9"/>
  <c r="Q174" i="9"/>
  <c r="Q434" i="9"/>
  <c r="Q403" i="9"/>
  <c r="Q77" i="9"/>
  <c r="Q169" i="9"/>
  <c r="Q197" i="9"/>
  <c r="D201" i="6"/>
  <c r="AA162" i="4" l="1"/>
  <c r="V162" i="4"/>
  <c r="U162" i="4"/>
  <c r="T162" i="4"/>
  <c r="AA171" i="4"/>
  <c r="V171" i="4"/>
  <c r="U171" i="4"/>
  <c r="T171" i="4"/>
  <c r="AA140" i="4"/>
  <c r="U140" i="4"/>
  <c r="V140" i="4"/>
  <c r="T140" i="4"/>
  <c r="AA127" i="4"/>
  <c r="U127" i="4"/>
  <c r="V127" i="4"/>
  <c r="T127" i="4"/>
  <c r="AA149" i="4"/>
  <c r="V149" i="4"/>
  <c r="U149" i="4"/>
  <c r="T149" i="4"/>
  <c r="AA184" i="4"/>
  <c r="V184" i="4"/>
  <c r="U184" i="4"/>
  <c r="T184" i="4"/>
  <c r="V105" i="4"/>
  <c r="U105" i="4"/>
  <c r="T105" i="4"/>
  <c r="G701" i="9"/>
  <c r="R700" i="9"/>
  <c r="U700" i="9"/>
  <c r="U588" i="9"/>
  <c r="R588" i="9"/>
  <c r="AA105" i="4"/>
  <c r="AA118" i="4"/>
  <c r="T118" i="4"/>
  <c r="V118" i="4"/>
  <c r="U118" i="4"/>
  <c r="U587" i="9"/>
  <c r="R587" i="9"/>
  <c r="G613" i="9"/>
  <c r="R612" i="9"/>
  <c r="U612" i="9"/>
  <c r="G747" i="9"/>
  <c r="R746" i="9"/>
  <c r="U746" i="9"/>
  <c r="G527" i="9"/>
  <c r="R526" i="9"/>
  <c r="U526" i="9"/>
  <c r="P526" i="9" s="1"/>
  <c r="E52" i="4"/>
  <c r="G702" i="9" l="1"/>
  <c r="U701" i="9"/>
  <c r="R701" i="9"/>
  <c r="G614" i="9"/>
  <c r="U613" i="9"/>
  <c r="R613" i="9"/>
  <c r="G748" i="9"/>
  <c r="U747" i="9"/>
  <c r="R747" i="9"/>
  <c r="G528" i="9"/>
  <c r="G529" i="9" s="1"/>
  <c r="U527" i="9"/>
  <c r="P527" i="9" s="1"/>
  <c r="R527" i="9"/>
  <c r="J52" i="4"/>
  <c r="X96" i="9"/>
  <c r="O197" i="9"/>
  <c r="P197" i="9"/>
  <c r="X74" i="9" s="1"/>
  <c r="O198" i="9"/>
  <c r="P198" i="9"/>
  <c r="O199" i="9"/>
  <c r="P199" i="9"/>
  <c r="O200" i="9"/>
  <c r="P200" i="9"/>
  <c r="O201" i="9"/>
  <c r="P201" i="9"/>
  <c r="O202" i="9"/>
  <c r="P202" i="9"/>
  <c r="O203" i="9"/>
  <c r="P203" i="9"/>
  <c r="O204" i="9"/>
  <c r="P204" i="9"/>
  <c r="O205" i="9"/>
  <c r="P205" i="9"/>
  <c r="O206" i="9"/>
  <c r="P206" i="9"/>
  <c r="O207" i="9"/>
  <c r="P207" i="9"/>
  <c r="O208" i="9"/>
  <c r="P208" i="9"/>
  <c r="O209" i="9"/>
  <c r="P209" i="9"/>
  <c r="O210" i="9"/>
  <c r="P210" i="9"/>
  <c r="O211" i="9"/>
  <c r="P211" i="9"/>
  <c r="O212" i="9"/>
  <c r="P212" i="9"/>
  <c r="O213" i="9"/>
  <c r="P213" i="9"/>
  <c r="O214" i="9"/>
  <c r="P214" i="9"/>
  <c r="O215" i="9"/>
  <c r="P215" i="9"/>
  <c r="O216" i="9"/>
  <c r="P216" i="9"/>
  <c r="O217" i="9"/>
  <c r="P217" i="9"/>
  <c r="X75" i="9" s="1"/>
  <c r="O218" i="9"/>
  <c r="P218" i="9"/>
  <c r="O219" i="9"/>
  <c r="P219" i="9"/>
  <c r="O220" i="9"/>
  <c r="P220" i="9"/>
  <c r="O221" i="9"/>
  <c r="P221" i="9"/>
  <c r="O222" i="9"/>
  <c r="P222" i="9"/>
  <c r="O223" i="9"/>
  <c r="P223" i="9"/>
  <c r="O224" i="9"/>
  <c r="P224" i="9"/>
  <c r="O225" i="9"/>
  <c r="P225" i="9"/>
  <c r="O226" i="9"/>
  <c r="P226" i="9"/>
  <c r="O227" i="9"/>
  <c r="P227" i="9"/>
  <c r="O228" i="9"/>
  <c r="P228" i="9"/>
  <c r="O229" i="9"/>
  <c r="P229" i="9"/>
  <c r="O230" i="9"/>
  <c r="P230" i="9"/>
  <c r="O231" i="9"/>
  <c r="P231" i="9"/>
  <c r="O232" i="9"/>
  <c r="P232" i="9"/>
  <c r="O233" i="9"/>
  <c r="P233" i="9"/>
  <c r="O234" i="9"/>
  <c r="P234" i="9"/>
  <c r="O235" i="9"/>
  <c r="P235" i="9"/>
  <c r="O236" i="9"/>
  <c r="P236" i="9"/>
  <c r="O237" i="9"/>
  <c r="P237" i="9"/>
  <c r="X71" i="9" s="1"/>
  <c r="O238" i="9"/>
  <c r="P238" i="9"/>
  <c r="O239" i="9"/>
  <c r="P239" i="9"/>
  <c r="O240" i="9"/>
  <c r="P240" i="9"/>
  <c r="O241" i="9"/>
  <c r="P241" i="9"/>
  <c r="O242" i="9"/>
  <c r="P242" i="9"/>
  <c r="O243" i="9"/>
  <c r="P243" i="9"/>
  <c r="O246" i="9"/>
  <c r="P246" i="9"/>
  <c r="X76" i="9" s="1"/>
  <c r="O247" i="9"/>
  <c r="P247" i="9"/>
  <c r="O248" i="9"/>
  <c r="P248" i="9"/>
  <c r="O249" i="9"/>
  <c r="P249" i="9"/>
  <c r="O250" i="9"/>
  <c r="P250" i="9"/>
  <c r="O251" i="9"/>
  <c r="P251" i="9"/>
  <c r="O252" i="9"/>
  <c r="P252" i="9"/>
  <c r="O253" i="9"/>
  <c r="P253" i="9"/>
  <c r="O254" i="9"/>
  <c r="P254" i="9"/>
  <c r="O255" i="9"/>
  <c r="P255" i="9"/>
  <c r="O256" i="9"/>
  <c r="P256" i="9"/>
  <c r="X77" i="9" s="1"/>
  <c r="O257" i="9"/>
  <c r="P257" i="9"/>
  <c r="O258" i="9"/>
  <c r="P258" i="9"/>
  <c r="O259" i="9"/>
  <c r="P259" i="9"/>
  <c r="O260" i="9"/>
  <c r="P260" i="9"/>
  <c r="O261" i="9"/>
  <c r="P261" i="9"/>
  <c r="O262" i="9"/>
  <c r="P262" i="9"/>
  <c r="O263" i="9"/>
  <c r="P263" i="9"/>
  <c r="O264" i="9"/>
  <c r="P264" i="9"/>
  <c r="O265" i="9"/>
  <c r="P265" i="9"/>
  <c r="O266" i="9"/>
  <c r="P266" i="9"/>
  <c r="O267" i="9"/>
  <c r="P267" i="9"/>
  <c r="O268" i="9"/>
  <c r="P268" i="9"/>
  <c r="O269" i="9"/>
  <c r="P269" i="9"/>
  <c r="O270" i="9"/>
  <c r="P270" i="9"/>
  <c r="O271" i="9"/>
  <c r="P271" i="9"/>
  <c r="O272" i="9"/>
  <c r="P272" i="9"/>
  <c r="O273" i="9"/>
  <c r="P273" i="9"/>
  <c r="O274" i="9"/>
  <c r="P274" i="9"/>
  <c r="O275" i="9"/>
  <c r="P275" i="9"/>
  <c r="O276" i="9"/>
  <c r="P276" i="9"/>
  <c r="O277" i="9"/>
  <c r="P277" i="9"/>
  <c r="O278" i="9"/>
  <c r="P278" i="9"/>
  <c r="O279" i="9"/>
  <c r="P279" i="9"/>
  <c r="O280" i="9"/>
  <c r="P280" i="9"/>
  <c r="O281" i="9"/>
  <c r="P281" i="9"/>
  <c r="O282" i="9"/>
  <c r="P282" i="9"/>
  <c r="O283" i="9"/>
  <c r="P283" i="9"/>
  <c r="O284" i="9"/>
  <c r="P284" i="9"/>
  <c r="X78" i="9" s="1"/>
  <c r="O285" i="9"/>
  <c r="P285" i="9"/>
  <c r="O286" i="9"/>
  <c r="P286" i="9"/>
  <c r="O287" i="9"/>
  <c r="P287" i="9"/>
  <c r="O288" i="9"/>
  <c r="P288" i="9"/>
  <c r="O289" i="9"/>
  <c r="P289" i="9"/>
  <c r="O290" i="9"/>
  <c r="P290" i="9"/>
  <c r="O291" i="9"/>
  <c r="P291" i="9"/>
  <c r="O292" i="9"/>
  <c r="P292" i="9"/>
  <c r="O293" i="9"/>
  <c r="P293" i="9"/>
  <c r="O294" i="9"/>
  <c r="P294" i="9"/>
  <c r="O295" i="9"/>
  <c r="P295" i="9"/>
  <c r="O296" i="9"/>
  <c r="P296" i="9"/>
  <c r="O297" i="9"/>
  <c r="P297" i="9"/>
  <c r="O298" i="9"/>
  <c r="P298" i="9"/>
  <c r="O299" i="9"/>
  <c r="P299" i="9"/>
  <c r="O300" i="9"/>
  <c r="P300" i="9"/>
  <c r="O301" i="9"/>
  <c r="P301" i="9"/>
  <c r="O302" i="9"/>
  <c r="P302" i="9"/>
  <c r="O303" i="9"/>
  <c r="P303" i="9"/>
  <c r="O304" i="9"/>
  <c r="P304" i="9"/>
  <c r="O305" i="9"/>
  <c r="P305" i="9"/>
  <c r="O306" i="9"/>
  <c r="P306" i="9"/>
  <c r="O307" i="9"/>
  <c r="P307" i="9"/>
  <c r="O308" i="9"/>
  <c r="P308" i="9"/>
  <c r="O309" i="9"/>
  <c r="P309" i="9"/>
  <c r="O310" i="9"/>
  <c r="P310" i="9"/>
  <c r="O311" i="9"/>
  <c r="P311" i="9"/>
  <c r="O312" i="9"/>
  <c r="P312" i="9"/>
  <c r="X79" i="9" s="1"/>
  <c r="O313" i="9"/>
  <c r="P313" i="9"/>
  <c r="O314" i="9"/>
  <c r="P314" i="9"/>
  <c r="O315" i="9"/>
  <c r="P315" i="9"/>
  <c r="O316" i="9"/>
  <c r="P316" i="9"/>
  <c r="O317" i="9"/>
  <c r="P317" i="9"/>
  <c r="O318" i="9"/>
  <c r="P318" i="9"/>
  <c r="O319" i="9"/>
  <c r="P319" i="9"/>
  <c r="O320" i="9"/>
  <c r="P320" i="9"/>
  <c r="O321" i="9"/>
  <c r="P321" i="9"/>
  <c r="O322" i="9"/>
  <c r="P322" i="9"/>
  <c r="O323" i="9"/>
  <c r="P323" i="9"/>
  <c r="O324" i="9"/>
  <c r="P324" i="9"/>
  <c r="O325" i="9"/>
  <c r="P325" i="9"/>
  <c r="O326" i="9"/>
  <c r="P326" i="9"/>
  <c r="O327" i="9"/>
  <c r="P327" i="9"/>
  <c r="O328" i="9"/>
  <c r="P328" i="9"/>
  <c r="O329" i="9"/>
  <c r="P329" i="9"/>
  <c r="O330" i="9"/>
  <c r="P330" i="9"/>
  <c r="O331" i="9"/>
  <c r="P331" i="9"/>
  <c r="O332" i="9"/>
  <c r="P332" i="9"/>
  <c r="O333" i="9"/>
  <c r="P333" i="9"/>
  <c r="O334" i="9"/>
  <c r="P334" i="9"/>
  <c r="O335" i="9"/>
  <c r="P335" i="9"/>
  <c r="O336" i="9"/>
  <c r="P336" i="9"/>
  <c r="O337" i="9"/>
  <c r="P337" i="9"/>
  <c r="O338" i="9"/>
  <c r="P338" i="9"/>
  <c r="O339" i="9"/>
  <c r="P339" i="9"/>
  <c r="X80" i="9" s="1"/>
  <c r="O340" i="9"/>
  <c r="P340" i="9"/>
  <c r="O341" i="9"/>
  <c r="P341" i="9"/>
  <c r="O342" i="9"/>
  <c r="P342" i="9"/>
  <c r="O343" i="9"/>
  <c r="P343" i="9"/>
  <c r="O344" i="9"/>
  <c r="P344" i="9"/>
  <c r="O345" i="9"/>
  <c r="P345" i="9"/>
  <c r="O346" i="9"/>
  <c r="P346" i="9"/>
  <c r="O347" i="9"/>
  <c r="P347" i="9"/>
  <c r="O348" i="9"/>
  <c r="P348" i="9"/>
  <c r="O349" i="9"/>
  <c r="P349" i="9"/>
  <c r="O350" i="9"/>
  <c r="P350" i="9"/>
  <c r="O351" i="9"/>
  <c r="P351" i="9"/>
  <c r="O352" i="9"/>
  <c r="P352" i="9"/>
  <c r="O353" i="9"/>
  <c r="P353" i="9"/>
  <c r="O354" i="9"/>
  <c r="P354" i="9"/>
  <c r="O355" i="9"/>
  <c r="P355" i="9"/>
  <c r="O356" i="9"/>
  <c r="P356" i="9"/>
  <c r="O357" i="9"/>
  <c r="P357" i="9"/>
  <c r="O358" i="9"/>
  <c r="P358" i="9"/>
  <c r="O359" i="9"/>
  <c r="P359" i="9"/>
  <c r="O360" i="9"/>
  <c r="P360" i="9"/>
  <c r="O361" i="9"/>
  <c r="P361" i="9"/>
  <c r="O362" i="9"/>
  <c r="P362" i="9"/>
  <c r="O363" i="9"/>
  <c r="P363" i="9"/>
  <c r="O364" i="9"/>
  <c r="P364" i="9"/>
  <c r="O365" i="9"/>
  <c r="P365" i="9"/>
  <c r="O366" i="9"/>
  <c r="P366" i="9"/>
  <c r="O367" i="9"/>
  <c r="P367" i="9"/>
  <c r="O368" i="9"/>
  <c r="P368" i="9"/>
  <c r="O369" i="9"/>
  <c r="P369" i="9"/>
  <c r="O370" i="9"/>
  <c r="P370" i="9"/>
  <c r="O371" i="9"/>
  <c r="P371" i="9"/>
  <c r="X81" i="9" s="1"/>
  <c r="O372" i="9"/>
  <c r="P372" i="9"/>
  <c r="O373" i="9"/>
  <c r="P373" i="9"/>
  <c r="O374" i="9"/>
  <c r="P374" i="9"/>
  <c r="O375" i="9"/>
  <c r="P375" i="9"/>
  <c r="O376" i="9"/>
  <c r="P376" i="9"/>
  <c r="O377" i="9"/>
  <c r="P377" i="9"/>
  <c r="O378" i="9"/>
  <c r="P378" i="9"/>
  <c r="O379" i="9"/>
  <c r="P379" i="9"/>
  <c r="O380" i="9"/>
  <c r="P380" i="9"/>
  <c r="O381" i="9"/>
  <c r="P381" i="9"/>
  <c r="O382" i="9"/>
  <c r="P382" i="9"/>
  <c r="O383" i="9"/>
  <c r="P383" i="9"/>
  <c r="O384" i="9"/>
  <c r="P384" i="9"/>
  <c r="O385" i="9"/>
  <c r="P385" i="9"/>
  <c r="O386" i="9"/>
  <c r="P386" i="9"/>
  <c r="O387" i="9"/>
  <c r="P387" i="9"/>
  <c r="O388" i="9"/>
  <c r="P388" i="9"/>
  <c r="O389" i="9"/>
  <c r="P389" i="9"/>
  <c r="O390" i="9"/>
  <c r="P390" i="9"/>
  <c r="O391" i="9"/>
  <c r="P391" i="9"/>
  <c r="O392" i="9"/>
  <c r="P392" i="9"/>
  <c r="O393" i="9"/>
  <c r="P393" i="9"/>
  <c r="O394" i="9"/>
  <c r="P394" i="9"/>
  <c r="O395" i="9"/>
  <c r="P395" i="9"/>
  <c r="O396" i="9"/>
  <c r="P396" i="9"/>
  <c r="O397" i="9"/>
  <c r="P397" i="9"/>
  <c r="O398" i="9"/>
  <c r="P398" i="9"/>
  <c r="O399" i="9"/>
  <c r="P399" i="9"/>
  <c r="O400" i="9"/>
  <c r="P400" i="9"/>
  <c r="O401" i="9"/>
  <c r="P401" i="9"/>
  <c r="O402" i="9"/>
  <c r="P402" i="9"/>
  <c r="O403" i="9"/>
  <c r="P403" i="9"/>
  <c r="X82" i="9" s="1"/>
  <c r="O404" i="9"/>
  <c r="P404" i="9"/>
  <c r="O405" i="9"/>
  <c r="P405" i="9"/>
  <c r="O406" i="9"/>
  <c r="P406" i="9"/>
  <c r="O407" i="9"/>
  <c r="P407" i="9"/>
  <c r="O408" i="9"/>
  <c r="P408" i="9"/>
  <c r="O409" i="9"/>
  <c r="P409" i="9"/>
  <c r="O410" i="9"/>
  <c r="P410" i="9"/>
  <c r="O411" i="9"/>
  <c r="P411" i="9"/>
  <c r="O412" i="9"/>
  <c r="P412" i="9"/>
  <c r="O413" i="9"/>
  <c r="P413" i="9"/>
  <c r="O414" i="9"/>
  <c r="P414" i="9"/>
  <c r="O415" i="9"/>
  <c r="T9" i="9" s="1"/>
  <c r="O9" i="9" s="1"/>
  <c r="P415" i="9"/>
  <c r="X83" i="9" s="1"/>
  <c r="O416" i="9"/>
  <c r="P416" i="9"/>
  <c r="X84" i="9" s="1"/>
  <c r="O417" i="9"/>
  <c r="P417" i="9"/>
  <c r="X85" i="9" s="1"/>
  <c r="O418" i="9"/>
  <c r="P418" i="9"/>
  <c r="X86" i="9" s="1"/>
  <c r="O419" i="9"/>
  <c r="P419" i="9"/>
  <c r="O420" i="9"/>
  <c r="P420" i="9"/>
  <c r="X87" i="9" s="1"/>
  <c r="O421" i="9"/>
  <c r="P421" i="9"/>
  <c r="O422" i="9"/>
  <c r="P422" i="9"/>
  <c r="O423" i="9"/>
  <c r="T10" i="9" s="1"/>
  <c r="O10" i="9" s="1"/>
  <c r="P423" i="9"/>
  <c r="X88" i="9" s="1"/>
  <c r="O424" i="9"/>
  <c r="P424" i="9"/>
  <c r="O425" i="9"/>
  <c r="P425" i="9"/>
  <c r="O426" i="9"/>
  <c r="P426" i="9"/>
  <c r="O427" i="9"/>
  <c r="P427" i="9"/>
  <c r="O428" i="9"/>
  <c r="P428" i="9"/>
  <c r="O429" i="9"/>
  <c r="P429" i="9"/>
  <c r="O430" i="9"/>
  <c r="P430" i="9"/>
  <c r="O431" i="9"/>
  <c r="P431" i="9"/>
  <c r="X89" i="9" s="1"/>
  <c r="O432" i="9"/>
  <c r="P432" i="9"/>
  <c r="X90" i="9" s="1"/>
  <c r="O433" i="9"/>
  <c r="P433" i="9"/>
  <c r="X91" i="9" s="1"/>
  <c r="O434" i="9"/>
  <c r="P434" i="9"/>
  <c r="X92" i="9" s="1"/>
  <c r="O435" i="9"/>
  <c r="P435" i="9"/>
  <c r="O436" i="9"/>
  <c r="P436" i="9"/>
  <c r="O437" i="9"/>
  <c r="P437" i="9"/>
  <c r="O438" i="9"/>
  <c r="P438" i="9"/>
  <c r="O439" i="9"/>
  <c r="P439" i="9"/>
  <c r="O440" i="9"/>
  <c r="P440" i="9"/>
  <c r="O441" i="9"/>
  <c r="P441" i="9"/>
  <c r="O442" i="9"/>
  <c r="P442" i="9"/>
  <c r="O443" i="9"/>
  <c r="P443" i="9"/>
  <c r="O444" i="9"/>
  <c r="P444" i="9"/>
  <c r="O445" i="9"/>
  <c r="P445" i="9"/>
  <c r="X93" i="9" s="1"/>
  <c r="O446" i="9"/>
  <c r="P446" i="9"/>
  <c r="X94" i="9" s="1"/>
  <c r="O447" i="9"/>
  <c r="P447" i="9"/>
  <c r="X95" i="9" s="1"/>
  <c r="X482" i="9"/>
  <c r="X805" i="9"/>
  <c r="D469" i="9"/>
  <c r="S469" i="9" s="1"/>
  <c r="O469" i="9"/>
  <c r="O470" i="9"/>
  <c r="O471" i="9"/>
  <c r="O472" i="9"/>
  <c r="O473" i="9"/>
  <c r="O488" i="9"/>
  <c r="O489" i="9"/>
  <c r="X469" i="9" s="1"/>
  <c r="O490" i="9"/>
  <c r="O491" i="9"/>
  <c r="O492" i="9"/>
  <c r="O493" i="9"/>
  <c r="O494" i="9"/>
  <c r="O495" i="9"/>
  <c r="O496" i="9"/>
  <c r="O497" i="9"/>
  <c r="O509" i="9"/>
  <c r="O510" i="9"/>
  <c r="X470" i="9" s="1"/>
  <c r="O511" i="9"/>
  <c r="O512" i="9"/>
  <c r="O513" i="9"/>
  <c r="O525" i="9"/>
  <c r="O526" i="9"/>
  <c r="O527" i="9"/>
  <c r="O528" i="9"/>
  <c r="O529" i="9"/>
  <c r="O534" i="9"/>
  <c r="O535" i="9"/>
  <c r="O536" i="9"/>
  <c r="O537" i="9"/>
  <c r="O538" i="9"/>
  <c r="O539" i="9"/>
  <c r="O552" i="9"/>
  <c r="O553" i="9"/>
  <c r="O555" i="9"/>
  <c r="X472" i="9" s="1"/>
  <c r="O556" i="9"/>
  <c r="O557" i="9"/>
  <c r="O558" i="9"/>
  <c r="O559" i="9"/>
  <c r="O560" i="9"/>
  <c r="O561" i="9"/>
  <c r="O570" i="9"/>
  <c r="O571" i="9"/>
  <c r="X473" i="9" s="1"/>
  <c r="O572" i="9"/>
  <c r="O573" i="9"/>
  <c r="O574" i="9"/>
  <c r="O575" i="9"/>
  <c r="O576" i="9"/>
  <c r="O588" i="9"/>
  <c r="O590" i="9"/>
  <c r="X474" i="9" s="1"/>
  <c r="O591" i="9"/>
  <c r="O592" i="9"/>
  <c r="O593" i="9"/>
  <c r="O594" i="9"/>
  <c r="O595" i="9"/>
  <c r="O596" i="9"/>
  <c r="O610" i="9"/>
  <c r="O611" i="9"/>
  <c r="O630" i="9"/>
  <c r="O631" i="9"/>
  <c r="X475" i="9" s="1"/>
  <c r="O632" i="9"/>
  <c r="O633" i="9"/>
  <c r="O634" i="9"/>
  <c r="O635" i="9"/>
  <c r="O636" i="9"/>
  <c r="O637" i="9"/>
  <c r="O638" i="9"/>
  <c r="O651" i="9"/>
  <c r="O652" i="9"/>
  <c r="X476" i="9" s="1"/>
  <c r="O653" i="9"/>
  <c r="O654" i="9"/>
  <c r="O655" i="9"/>
  <c r="O656" i="9"/>
  <c r="O657" i="9"/>
  <c r="O658" i="9"/>
  <c r="O670" i="9"/>
  <c r="O671" i="9"/>
  <c r="O672" i="9"/>
  <c r="O673" i="9"/>
  <c r="X477" i="9" s="1"/>
  <c r="O674" i="9"/>
  <c r="O675" i="9"/>
  <c r="O676" i="9"/>
  <c r="O677" i="9"/>
  <c r="O678" i="9"/>
  <c r="X478" i="9" s="1"/>
  <c r="O679" i="9"/>
  <c r="O680" i="9"/>
  <c r="O681" i="9"/>
  <c r="O682" i="9"/>
  <c r="O683" i="9"/>
  <c r="O698" i="9"/>
  <c r="O704" i="9"/>
  <c r="X479" i="9" s="1"/>
  <c r="O705" i="9"/>
  <c r="O706" i="9"/>
  <c r="O707" i="9"/>
  <c r="O708" i="9"/>
  <c r="O709" i="9"/>
  <c r="O710" i="9"/>
  <c r="O719" i="9"/>
  <c r="O722" i="9"/>
  <c r="X480" i="9" s="1"/>
  <c r="O723" i="9"/>
  <c r="O724" i="9"/>
  <c r="O725" i="9"/>
  <c r="O726" i="9"/>
  <c r="O727" i="9"/>
  <c r="O728" i="9"/>
  <c r="O729" i="9"/>
  <c r="O730" i="9"/>
  <c r="O750" i="9"/>
  <c r="O751" i="9"/>
  <c r="X481" i="9" s="1"/>
  <c r="O752" i="9"/>
  <c r="O468" i="9"/>
  <c r="X468" i="9" s="1"/>
  <c r="W468" i="9" s="1"/>
  <c r="O1" i="9"/>
  <c r="L940" i="9"/>
  <c r="L927" i="9"/>
  <c r="K927" i="9"/>
  <c r="AA52" i="4" l="1"/>
  <c r="T52" i="4"/>
  <c r="W476" i="9"/>
  <c r="W475" i="9"/>
  <c r="W474" i="9"/>
  <c r="G703" i="9"/>
  <c r="R702" i="9"/>
  <c r="U702" i="9"/>
  <c r="G530" i="9"/>
  <c r="U529" i="9"/>
  <c r="P529" i="9" s="1"/>
  <c r="R529" i="9"/>
  <c r="G615" i="9"/>
  <c r="R614" i="9"/>
  <c r="U614" i="9"/>
  <c r="G749" i="9"/>
  <c r="R748" i="9"/>
  <c r="U748" i="9"/>
  <c r="R528" i="9"/>
  <c r="U528" i="9"/>
  <c r="P528" i="9" s="1"/>
  <c r="W470" i="9"/>
  <c r="W469" i="9"/>
  <c r="X471" i="9"/>
  <c r="W471" i="9" s="1"/>
  <c r="W479" i="9"/>
  <c r="W472" i="9"/>
  <c r="W480" i="9"/>
  <c r="W473" i="9"/>
  <c r="W477" i="9"/>
  <c r="W481" i="9"/>
  <c r="W478" i="9"/>
  <c r="W482" i="9"/>
  <c r="D470" i="9"/>
  <c r="S470" i="9" s="1"/>
  <c r="Y473" i="9" l="1"/>
  <c r="Y474" i="9"/>
  <c r="Y480" i="9"/>
  <c r="Y475" i="9"/>
  <c r="Y479" i="9"/>
  <c r="Y472" i="9"/>
  <c r="Y471" i="9"/>
  <c r="Y478" i="9"/>
  <c r="Y481" i="9"/>
  <c r="Y477" i="9"/>
  <c r="U703" i="9"/>
  <c r="R703" i="9"/>
  <c r="Y476" i="9"/>
  <c r="G531" i="9"/>
  <c r="R530" i="9"/>
  <c r="U530" i="9"/>
  <c r="P530" i="9" s="1"/>
  <c r="U749" i="9"/>
  <c r="R749" i="9"/>
  <c r="G616" i="9"/>
  <c r="R615" i="9"/>
  <c r="U615" i="9"/>
  <c r="D471" i="9"/>
  <c r="S471" i="9" s="1"/>
  <c r="G532" i="9" l="1"/>
  <c r="G533" i="9" s="1"/>
  <c r="R531" i="9"/>
  <c r="U531" i="9"/>
  <c r="P531" i="9" s="1"/>
  <c r="G617" i="9"/>
  <c r="R616" i="9"/>
  <c r="U616" i="9"/>
  <c r="Y470" i="9"/>
  <c r="Y469" i="9"/>
  <c r="Y468" i="9"/>
  <c r="D472" i="9"/>
  <c r="U533" i="9" l="1"/>
  <c r="P533" i="9" s="1"/>
  <c r="R533" i="9"/>
  <c r="R532" i="9"/>
  <c r="U532" i="9"/>
  <c r="P532" i="9" s="1"/>
  <c r="G618" i="9"/>
  <c r="U617" i="9"/>
  <c r="R617" i="9"/>
  <c r="D473" i="9"/>
  <c r="S472" i="9"/>
  <c r="N43" i="2"/>
  <c r="D474" i="9" l="1"/>
  <c r="S473" i="9"/>
  <c r="G619" i="9"/>
  <c r="R618" i="9"/>
  <c r="U618" i="9"/>
  <c r="K992" i="9"/>
  <c r="R619" i="9" l="1"/>
  <c r="U619" i="9"/>
  <c r="D475" i="9"/>
  <c r="S474" i="9"/>
  <c r="P474" i="9" s="1"/>
  <c r="K940" i="9"/>
  <c r="L783" i="9"/>
  <c r="S752" i="9"/>
  <c r="D723" i="9"/>
  <c r="D705" i="9"/>
  <c r="S705" i="9" s="1"/>
  <c r="D679" i="9"/>
  <c r="S679" i="9" s="1"/>
  <c r="D653" i="9"/>
  <c r="D654" i="9" s="1"/>
  <c r="D655" i="9" s="1"/>
  <c r="D656" i="9" s="1"/>
  <c r="D657" i="9" s="1"/>
  <c r="D658" i="9" s="1"/>
  <c r="D659" i="9" s="1"/>
  <c r="D660" i="9" s="1"/>
  <c r="D661" i="9" s="1"/>
  <c r="D662" i="9" s="1"/>
  <c r="D663" i="9" s="1"/>
  <c r="D664" i="9" s="1"/>
  <c r="D665" i="9" s="1"/>
  <c r="D666" i="9" s="1"/>
  <c r="D667" i="9" s="1"/>
  <c r="D668" i="9" s="1"/>
  <c r="D669" i="9" s="1"/>
  <c r="D670" i="9" s="1"/>
  <c r="D671" i="9" s="1"/>
  <c r="D672" i="9" s="1"/>
  <c r="D632" i="9"/>
  <c r="D591" i="9"/>
  <c r="S591" i="9" s="1"/>
  <c r="D572" i="9"/>
  <c r="S572" i="9" s="1"/>
  <c r="P572" i="9" s="1"/>
  <c r="D556" i="9"/>
  <c r="S556" i="9" s="1"/>
  <c r="D535" i="9"/>
  <c r="S535" i="9" s="1"/>
  <c r="P535" i="9" s="1"/>
  <c r="D490" i="9"/>
  <c r="D491" i="9" s="1"/>
  <c r="D492" i="9" s="1"/>
  <c r="D493" i="9" s="1"/>
  <c r="D494" i="9" s="1"/>
  <c r="D495" i="9" s="1"/>
  <c r="D496" i="9" s="1"/>
  <c r="D497" i="9" s="1"/>
  <c r="D498" i="9" s="1"/>
  <c r="D499" i="9" s="1"/>
  <c r="D500" i="9" s="1"/>
  <c r="D501" i="9" s="1"/>
  <c r="D502" i="9" s="1"/>
  <c r="D503" i="9" s="1"/>
  <c r="D504" i="9" s="1"/>
  <c r="D505" i="9" s="1"/>
  <c r="D506" i="9" s="1"/>
  <c r="D507" i="9" s="1"/>
  <c r="D508" i="9" s="1"/>
  <c r="D509" i="9" s="1"/>
  <c r="U473" i="9"/>
  <c r="P473" i="9" s="1"/>
  <c r="U469" i="9"/>
  <c r="P469" i="9" s="1"/>
  <c r="U470" i="9"/>
  <c r="P470" i="9" s="1"/>
  <c r="U471" i="9"/>
  <c r="P471" i="9" s="1"/>
  <c r="U472" i="9"/>
  <c r="P472" i="9" s="1"/>
  <c r="U468" i="9"/>
  <c r="P468" i="9" s="1"/>
  <c r="K465" i="9"/>
  <c r="D435" i="9"/>
  <c r="S435" i="9" s="1"/>
  <c r="Q435" i="9" s="1"/>
  <c r="D340" i="9"/>
  <c r="S340" i="9" s="1"/>
  <c r="Q340" i="9" s="1"/>
  <c r="D331" i="9"/>
  <c r="S331" i="9" s="1"/>
  <c r="Q331" i="9" s="1"/>
  <c r="D322" i="9"/>
  <c r="S322" i="9" s="1"/>
  <c r="Q322" i="9" s="1"/>
  <c r="D313" i="9"/>
  <c r="S313" i="9" s="1"/>
  <c r="Q313" i="9" s="1"/>
  <c r="D301" i="9"/>
  <c r="S301" i="9" s="1"/>
  <c r="Q301" i="9" s="1"/>
  <c r="D293" i="9"/>
  <c r="S293" i="9" s="1"/>
  <c r="Q293" i="9" s="1"/>
  <c r="D285" i="9"/>
  <c r="S285" i="9" s="1"/>
  <c r="Q285" i="9" s="1"/>
  <c r="D273" i="9"/>
  <c r="S273" i="9" s="1"/>
  <c r="Q273" i="9" s="1"/>
  <c r="D265" i="9"/>
  <c r="S265" i="9" s="1"/>
  <c r="Q265" i="9" s="1"/>
  <c r="D257" i="9"/>
  <c r="D247" i="9"/>
  <c r="D238" i="9"/>
  <c r="D228" i="9"/>
  <c r="S228" i="9" s="1"/>
  <c r="Q228" i="9" s="1"/>
  <c r="D218" i="9"/>
  <c r="S218" i="9" s="1"/>
  <c r="Q218" i="9" s="1"/>
  <c r="D208" i="9"/>
  <c r="D198" i="9"/>
  <c r="O186" i="9"/>
  <c r="T8" i="9" s="1"/>
  <c r="O8" i="9" s="1"/>
  <c r="P186" i="9"/>
  <c r="X72" i="9" s="1"/>
  <c r="O187" i="9"/>
  <c r="P187" i="9"/>
  <c r="O188" i="9"/>
  <c r="P188" i="9"/>
  <c r="O189" i="9"/>
  <c r="P189" i="9"/>
  <c r="O190" i="9"/>
  <c r="P190" i="9"/>
  <c r="X73" i="9" s="1"/>
  <c r="O191" i="9"/>
  <c r="P191" i="9"/>
  <c r="O192" i="9"/>
  <c r="P192" i="9"/>
  <c r="O193" i="9"/>
  <c r="P193" i="9"/>
  <c r="O194" i="9"/>
  <c r="P194" i="9"/>
  <c r="O195" i="9"/>
  <c r="P195" i="9"/>
  <c r="O196" i="9"/>
  <c r="P196" i="9"/>
  <c r="D191" i="9"/>
  <c r="O87" i="9"/>
  <c r="T6" i="9" s="1"/>
  <c r="O6" i="9" s="1"/>
  <c r="P87" i="9"/>
  <c r="X63" i="9" s="1"/>
  <c r="O88" i="9"/>
  <c r="P88" i="9"/>
  <c r="X64" i="9" s="1"/>
  <c r="O89" i="9"/>
  <c r="P89" i="9"/>
  <c r="O90" i="9"/>
  <c r="P90" i="9"/>
  <c r="O91" i="9"/>
  <c r="P91" i="9"/>
  <c r="O92" i="9"/>
  <c r="P92" i="9"/>
  <c r="O93" i="9"/>
  <c r="P93" i="9"/>
  <c r="O94" i="9"/>
  <c r="P94" i="9"/>
  <c r="O95" i="9"/>
  <c r="P95" i="9"/>
  <c r="O96" i="9"/>
  <c r="P96" i="9"/>
  <c r="O97" i="9"/>
  <c r="P97" i="9"/>
  <c r="O98" i="9"/>
  <c r="P98" i="9"/>
  <c r="O99" i="9"/>
  <c r="P99" i="9"/>
  <c r="X65" i="9" s="1"/>
  <c r="O100" i="9"/>
  <c r="P100" i="9"/>
  <c r="O101" i="9"/>
  <c r="P101" i="9"/>
  <c r="O102" i="9"/>
  <c r="P102" i="9"/>
  <c r="O103" i="9"/>
  <c r="P103" i="9"/>
  <c r="O104" i="9"/>
  <c r="P104" i="9"/>
  <c r="O105" i="9"/>
  <c r="P105" i="9"/>
  <c r="O106" i="9"/>
  <c r="P106" i="9"/>
  <c r="O107" i="9"/>
  <c r="P107" i="9"/>
  <c r="O108" i="9"/>
  <c r="P108" i="9"/>
  <c r="O109" i="9"/>
  <c r="P109" i="9"/>
  <c r="O110" i="9"/>
  <c r="P110" i="9"/>
  <c r="O111" i="9"/>
  <c r="P111" i="9"/>
  <c r="X66" i="9" s="1"/>
  <c r="O112" i="9"/>
  <c r="P112" i="9"/>
  <c r="O113" i="9"/>
  <c r="P113" i="9"/>
  <c r="O114" i="9"/>
  <c r="P114" i="9"/>
  <c r="O115" i="9"/>
  <c r="P115" i="9"/>
  <c r="O116" i="9"/>
  <c r="P116" i="9"/>
  <c r="O117" i="9"/>
  <c r="P117" i="9"/>
  <c r="O118" i="9"/>
  <c r="P118" i="9"/>
  <c r="O119" i="9"/>
  <c r="P119" i="9"/>
  <c r="O120" i="9"/>
  <c r="P120" i="9"/>
  <c r="O121" i="9"/>
  <c r="P121" i="9"/>
  <c r="O122" i="9"/>
  <c r="P122" i="9"/>
  <c r="O123" i="9"/>
  <c r="P123" i="9"/>
  <c r="O124" i="9"/>
  <c r="P124" i="9"/>
  <c r="O125" i="9"/>
  <c r="P125" i="9"/>
  <c r="O126" i="9"/>
  <c r="P126" i="9"/>
  <c r="O127" i="9"/>
  <c r="P127" i="9"/>
  <c r="O128" i="9"/>
  <c r="P128" i="9"/>
  <c r="O129" i="9"/>
  <c r="P129" i="9"/>
  <c r="O130" i="9"/>
  <c r="P130" i="9"/>
  <c r="O131" i="9"/>
  <c r="P131" i="9"/>
  <c r="O132" i="9"/>
  <c r="P132" i="9"/>
  <c r="O133" i="9"/>
  <c r="P133" i="9"/>
  <c r="O134" i="9"/>
  <c r="P134" i="9"/>
  <c r="O135" i="9"/>
  <c r="P135" i="9"/>
  <c r="O136" i="9"/>
  <c r="P136" i="9"/>
  <c r="O137" i="9"/>
  <c r="P137" i="9"/>
  <c r="O138" i="9"/>
  <c r="P138" i="9"/>
  <c r="O139" i="9"/>
  <c r="P139" i="9"/>
  <c r="O140" i="9"/>
  <c r="P140" i="9"/>
  <c r="O141" i="9"/>
  <c r="P141" i="9"/>
  <c r="O142" i="9"/>
  <c r="P142" i="9"/>
  <c r="O143" i="9"/>
  <c r="P143" i="9"/>
  <c r="O144" i="9"/>
  <c r="P144" i="9"/>
  <c r="O145" i="9"/>
  <c r="P145" i="9"/>
  <c r="O146" i="9"/>
  <c r="P146" i="9"/>
  <c r="O147" i="9"/>
  <c r="P147" i="9"/>
  <c r="O148" i="9"/>
  <c r="P148" i="9"/>
  <c r="O149" i="9"/>
  <c r="P149" i="9"/>
  <c r="O150" i="9"/>
  <c r="P150" i="9"/>
  <c r="O151" i="9"/>
  <c r="P151" i="9"/>
  <c r="O152" i="9"/>
  <c r="P152" i="9"/>
  <c r="O153" i="9"/>
  <c r="P153" i="9"/>
  <c r="O154" i="9"/>
  <c r="T7" i="9" s="1"/>
  <c r="O7" i="9" s="1"/>
  <c r="P154" i="9"/>
  <c r="X67" i="9" s="1"/>
  <c r="O155" i="9"/>
  <c r="P155" i="9"/>
  <c r="O156" i="9"/>
  <c r="P156" i="9"/>
  <c r="O157" i="9"/>
  <c r="P157" i="9"/>
  <c r="O158" i="9"/>
  <c r="P158" i="9"/>
  <c r="O159" i="9"/>
  <c r="P159" i="9"/>
  <c r="O160" i="9"/>
  <c r="P160" i="9"/>
  <c r="O161" i="9"/>
  <c r="P161" i="9"/>
  <c r="O162" i="9"/>
  <c r="P162" i="9"/>
  <c r="O163" i="9"/>
  <c r="P163" i="9"/>
  <c r="O164" i="9"/>
  <c r="P164" i="9"/>
  <c r="O165" i="9"/>
  <c r="P165" i="9"/>
  <c r="O166" i="9"/>
  <c r="P166" i="9"/>
  <c r="O167" i="9"/>
  <c r="P167" i="9"/>
  <c r="O168" i="9"/>
  <c r="P168" i="9"/>
  <c r="O169" i="9"/>
  <c r="P169" i="9"/>
  <c r="X68" i="9" s="1"/>
  <c r="O170" i="9"/>
  <c r="P170" i="9"/>
  <c r="O171" i="9"/>
  <c r="P171" i="9"/>
  <c r="O172" i="9"/>
  <c r="P172" i="9"/>
  <c r="O173" i="9"/>
  <c r="P173" i="9"/>
  <c r="O174" i="9"/>
  <c r="P174" i="9"/>
  <c r="X69" i="9" s="1"/>
  <c r="O175" i="9"/>
  <c r="P175" i="9"/>
  <c r="O176" i="9"/>
  <c r="P176" i="9"/>
  <c r="O177" i="9"/>
  <c r="P177" i="9"/>
  <c r="O184" i="9"/>
  <c r="P184" i="9"/>
  <c r="X70" i="9" s="1"/>
  <c r="D187" i="9"/>
  <c r="D175" i="9"/>
  <c r="S175" i="9" s="1"/>
  <c r="Q175" i="9" s="1"/>
  <c r="D170" i="9"/>
  <c r="S170" i="9" s="1"/>
  <c r="Q170" i="9" s="1"/>
  <c r="D160" i="9"/>
  <c r="D155" i="9"/>
  <c r="D138" i="9"/>
  <c r="D124" i="9"/>
  <c r="D115" i="9"/>
  <c r="D112" i="9"/>
  <c r="D100" i="9"/>
  <c r="S100" i="9" s="1"/>
  <c r="Q100" i="9" s="1"/>
  <c r="D89" i="9"/>
  <c r="D86" i="9"/>
  <c r="S86" i="9" s="1"/>
  <c r="Q86" i="9" s="1"/>
  <c r="D78" i="9"/>
  <c r="S78" i="9" s="1"/>
  <c r="Q78" i="9" s="1"/>
  <c r="S69" i="9"/>
  <c r="Q69" i="9" s="1"/>
  <c r="P61" i="9"/>
  <c r="P68" i="9"/>
  <c r="P69" i="9"/>
  <c r="P70" i="9"/>
  <c r="P71" i="9"/>
  <c r="P72" i="9"/>
  <c r="X61" i="9" s="1"/>
  <c r="P73" i="9"/>
  <c r="P74" i="9"/>
  <c r="P75" i="9"/>
  <c r="P76" i="9"/>
  <c r="P77" i="9"/>
  <c r="P78" i="9"/>
  <c r="P79" i="9"/>
  <c r="P80" i="9"/>
  <c r="P81" i="9"/>
  <c r="P82" i="9"/>
  <c r="X62" i="9" s="1"/>
  <c r="P83" i="9"/>
  <c r="P84" i="9"/>
  <c r="P85" i="9"/>
  <c r="P86" i="9"/>
  <c r="P60" i="9"/>
  <c r="J93" i="9"/>
  <c r="J94" i="9"/>
  <c r="J95" i="9"/>
  <c r="J96" i="9"/>
  <c r="J97" i="9"/>
  <c r="J98" i="9"/>
  <c r="J91" i="9"/>
  <c r="J92" i="9"/>
  <c r="O61" i="9"/>
  <c r="O68" i="9"/>
  <c r="O69" i="9"/>
  <c r="O70" i="9"/>
  <c r="O71" i="9"/>
  <c r="O72" i="9"/>
  <c r="O73" i="9"/>
  <c r="O74" i="9"/>
  <c r="O75" i="9"/>
  <c r="O76" i="9"/>
  <c r="O77" i="9"/>
  <c r="O78" i="9"/>
  <c r="O79" i="9"/>
  <c r="O80" i="9"/>
  <c r="O81" i="9"/>
  <c r="O82" i="9"/>
  <c r="O83" i="9"/>
  <c r="O84" i="9"/>
  <c r="O85" i="9"/>
  <c r="O86" i="9"/>
  <c r="R60" i="9"/>
  <c r="O60" i="9"/>
  <c r="T5" i="9" s="1"/>
  <c r="O5" i="9" s="1"/>
  <c r="K57" i="9"/>
  <c r="K783" i="9"/>
  <c r="O787" i="9"/>
  <c r="X787" i="9" s="1"/>
  <c r="O788" i="9"/>
  <c r="O789" i="9"/>
  <c r="X788" i="9" s="1"/>
  <c r="O790" i="9"/>
  <c r="O791" i="9"/>
  <c r="O792" i="9"/>
  <c r="O793" i="9"/>
  <c r="O794" i="9"/>
  <c r="O795" i="9"/>
  <c r="X789" i="9" s="1"/>
  <c r="O796" i="9"/>
  <c r="O797" i="9"/>
  <c r="O798" i="9"/>
  <c r="O799" i="9"/>
  <c r="O800" i="9"/>
  <c r="O801" i="9"/>
  <c r="O802" i="9"/>
  <c r="O803" i="9"/>
  <c r="O804" i="9"/>
  <c r="X790" i="9" s="1"/>
  <c r="O805" i="9"/>
  <c r="O806" i="9"/>
  <c r="O807" i="9"/>
  <c r="O808" i="9"/>
  <c r="O809" i="9"/>
  <c r="O810" i="9"/>
  <c r="X791" i="9" s="1"/>
  <c r="O811" i="9"/>
  <c r="O812" i="9"/>
  <c r="O813" i="9"/>
  <c r="X792" i="9" s="1"/>
  <c r="O814" i="9"/>
  <c r="O815" i="9"/>
  <c r="O816" i="9"/>
  <c r="O817" i="9"/>
  <c r="O818" i="9"/>
  <c r="O819" i="9"/>
  <c r="O820" i="9"/>
  <c r="O821" i="9"/>
  <c r="O822" i="9"/>
  <c r="X793" i="9" s="1"/>
  <c r="O823" i="9"/>
  <c r="O824" i="9"/>
  <c r="O825" i="9"/>
  <c r="O826" i="9"/>
  <c r="O827" i="9"/>
  <c r="O828" i="9"/>
  <c r="O829" i="9"/>
  <c r="O830" i="9"/>
  <c r="O831" i="9"/>
  <c r="O832" i="9"/>
  <c r="X794" i="9" s="1"/>
  <c r="O833" i="9"/>
  <c r="O834" i="9"/>
  <c r="O835" i="9"/>
  <c r="O836" i="9"/>
  <c r="O837" i="9"/>
  <c r="O838" i="9"/>
  <c r="O839" i="9"/>
  <c r="O840" i="9"/>
  <c r="O841" i="9"/>
  <c r="O842" i="9"/>
  <c r="O843" i="9"/>
  <c r="O844" i="9"/>
  <c r="O845" i="9"/>
  <c r="O846" i="9"/>
  <c r="O847" i="9"/>
  <c r="O848" i="9"/>
  <c r="O849" i="9"/>
  <c r="X795" i="9" s="1"/>
  <c r="O850" i="9"/>
  <c r="O851" i="9"/>
  <c r="O852" i="9"/>
  <c r="O853" i="9"/>
  <c r="O854" i="9"/>
  <c r="O855" i="9"/>
  <c r="O856" i="9"/>
  <c r="O857" i="9"/>
  <c r="O858" i="9"/>
  <c r="X796" i="9" s="1"/>
  <c r="O859" i="9"/>
  <c r="O860" i="9"/>
  <c r="O861" i="9"/>
  <c r="O862" i="9"/>
  <c r="O863" i="9"/>
  <c r="O864" i="9"/>
  <c r="O865" i="9"/>
  <c r="O866" i="9"/>
  <c r="O867" i="9"/>
  <c r="X797" i="9" s="1"/>
  <c r="O868" i="9"/>
  <c r="O869" i="9"/>
  <c r="O870" i="9"/>
  <c r="O871" i="9"/>
  <c r="O872" i="9"/>
  <c r="O873" i="9"/>
  <c r="X798" i="9" s="1"/>
  <c r="O874" i="9"/>
  <c r="O875" i="9"/>
  <c r="O876" i="9"/>
  <c r="O877" i="9"/>
  <c r="O878" i="9"/>
  <c r="O879" i="9"/>
  <c r="X799" i="9" s="1"/>
  <c r="O880" i="9"/>
  <c r="O881" i="9"/>
  <c r="X800" i="9" s="1"/>
  <c r="O882" i="9"/>
  <c r="O883" i="9"/>
  <c r="O884" i="9"/>
  <c r="O885" i="9"/>
  <c r="O886" i="9"/>
  <c r="O887" i="9"/>
  <c r="O888" i="9"/>
  <c r="O889" i="9"/>
  <c r="O890" i="9"/>
  <c r="O891" i="9"/>
  <c r="O892" i="9"/>
  <c r="O893" i="9"/>
  <c r="O894" i="9"/>
  <c r="O895" i="9"/>
  <c r="O896" i="9"/>
  <c r="O897" i="9"/>
  <c r="O898" i="9"/>
  <c r="X801" i="9" s="1"/>
  <c r="O899" i="9"/>
  <c r="O900" i="9"/>
  <c r="X802" i="9" s="1"/>
  <c r="O901" i="9"/>
  <c r="O902" i="9"/>
  <c r="X803" i="9" s="1"/>
  <c r="O903" i="9"/>
  <c r="O904" i="9"/>
  <c r="O905" i="9"/>
  <c r="X804" i="9" s="1"/>
  <c r="O906" i="9"/>
  <c r="O907" i="9"/>
  <c r="O908" i="9"/>
  <c r="O909" i="9"/>
  <c r="O910" i="9"/>
  <c r="O911" i="9"/>
  <c r="O912" i="9"/>
  <c r="O913" i="9"/>
  <c r="O914" i="9"/>
  <c r="O915" i="9"/>
  <c r="O916" i="9"/>
  <c r="O917" i="9"/>
  <c r="O786" i="9"/>
  <c r="R787" i="9"/>
  <c r="R788" i="9"/>
  <c r="R789" i="9"/>
  <c r="R790" i="9"/>
  <c r="R791" i="9"/>
  <c r="R792" i="9"/>
  <c r="R793" i="9"/>
  <c r="R794" i="9"/>
  <c r="R795" i="9"/>
  <c r="R796" i="9"/>
  <c r="R797" i="9"/>
  <c r="R798" i="9"/>
  <c r="R799" i="9"/>
  <c r="R800" i="9"/>
  <c r="R801" i="9"/>
  <c r="R802" i="9"/>
  <c r="R803" i="9"/>
  <c r="R804" i="9"/>
  <c r="R805" i="9"/>
  <c r="R806" i="9"/>
  <c r="R807" i="9"/>
  <c r="R808" i="9"/>
  <c r="R809" i="9"/>
  <c r="R810" i="9"/>
  <c r="R811" i="9"/>
  <c r="R812" i="9"/>
  <c r="R813" i="9"/>
  <c r="R814" i="9"/>
  <c r="R815" i="9"/>
  <c r="R816" i="9"/>
  <c r="R817" i="9"/>
  <c r="R818" i="9"/>
  <c r="R819" i="9"/>
  <c r="R820" i="9"/>
  <c r="R821" i="9"/>
  <c r="R822" i="9"/>
  <c r="R823" i="9"/>
  <c r="R824" i="9"/>
  <c r="R825" i="9"/>
  <c r="R826" i="9"/>
  <c r="R827" i="9"/>
  <c r="R828" i="9"/>
  <c r="R829" i="9"/>
  <c r="R830" i="9"/>
  <c r="R831" i="9"/>
  <c r="R832" i="9"/>
  <c r="R833" i="9"/>
  <c r="R834" i="9"/>
  <c r="R835" i="9"/>
  <c r="R836" i="9"/>
  <c r="R837" i="9"/>
  <c r="R838" i="9"/>
  <c r="R839" i="9"/>
  <c r="R840" i="9"/>
  <c r="R841" i="9"/>
  <c r="R842" i="9"/>
  <c r="R843" i="9"/>
  <c r="R844" i="9"/>
  <c r="R845" i="9"/>
  <c r="R846" i="9"/>
  <c r="R847" i="9"/>
  <c r="R848" i="9"/>
  <c r="R849" i="9"/>
  <c r="R850" i="9"/>
  <c r="R851" i="9"/>
  <c r="R852" i="9"/>
  <c r="R853" i="9"/>
  <c r="R854" i="9"/>
  <c r="R855" i="9"/>
  <c r="R856" i="9"/>
  <c r="R857" i="9"/>
  <c r="R858" i="9"/>
  <c r="R859" i="9"/>
  <c r="R860" i="9"/>
  <c r="R861" i="9"/>
  <c r="R862" i="9"/>
  <c r="R863" i="9"/>
  <c r="R864" i="9"/>
  <c r="R865" i="9"/>
  <c r="R866" i="9"/>
  <c r="R867" i="9"/>
  <c r="R868" i="9"/>
  <c r="R869" i="9"/>
  <c r="R870" i="9"/>
  <c r="R871" i="9"/>
  <c r="R872" i="9"/>
  <c r="R873" i="9"/>
  <c r="R874" i="9"/>
  <c r="R875" i="9"/>
  <c r="R876" i="9"/>
  <c r="R877" i="9"/>
  <c r="R878" i="9"/>
  <c r="R879" i="9"/>
  <c r="R880" i="9"/>
  <c r="R881" i="9"/>
  <c r="R882" i="9"/>
  <c r="R883" i="9"/>
  <c r="R884" i="9"/>
  <c r="R885" i="9"/>
  <c r="R886" i="9"/>
  <c r="R887" i="9"/>
  <c r="R888" i="9"/>
  <c r="R889" i="9"/>
  <c r="R890" i="9"/>
  <c r="R891" i="9"/>
  <c r="R892" i="9"/>
  <c r="R893" i="9"/>
  <c r="R894" i="9"/>
  <c r="R895" i="9"/>
  <c r="R896" i="9"/>
  <c r="R897" i="9"/>
  <c r="R898" i="9"/>
  <c r="R899" i="9"/>
  <c r="R900" i="9"/>
  <c r="R901" i="9"/>
  <c r="R902" i="9"/>
  <c r="R903" i="9"/>
  <c r="R904" i="9"/>
  <c r="R905" i="9"/>
  <c r="R906" i="9"/>
  <c r="R907" i="9"/>
  <c r="R908" i="9"/>
  <c r="R909" i="9"/>
  <c r="R910" i="9"/>
  <c r="R911" i="9"/>
  <c r="R912" i="9"/>
  <c r="R913" i="9"/>
  <c r="R914" i="9"/>
  <c r="R915" i="9"/>
  <c r="R916" i="9"/>
  <c r="R917" i="9"/>
  <c r="R786" i="9"/>
  <c r="S257" i="9" l="1"/>
  <c r="Q257" i="9" s="1"/>
  <c r="S198" i="9"/>
  <c r="Q198" i="9" s="1"/>
  <c r="S208" i="9"/>
  <c r="Q208" i="9" s="1"/>
  <c r="W799" i="9"/>
  <c r="W797" i="9"/>
  <c r="W789" i="9"/>
  <c r="W787" i="9"/>
  <c r="D476" i="9"/>
  <c r="S475" i="9"/>
  <c r="P475" i="9" s="1"/>
  <c r="D724" i="9"/>
  <c r="S723" i="9"/>
  <c r="G621" i="9"/>
  <c r="G622" i="9" s="1"/>
  <c r="R620" i="9"/>
  <c r="U620" i="9"/>
  <c r="W804" i="9"/>
  <c r="W800" i="9"/>
  <c r="W798" i="9"/>
  <c r="W795" i="9"/>
  <c r="W792" i="9"/>
  <c r="W788" i="9"/>
  <c r="W802" i="9"/>
  <c r="W794" i="9"/>
  <c r="W790" i="9"/>
  <c r="W805" i="9"/>
  <c r="W803" i="9"/>
  <c r="W801" i="9"/>
  <c r="W796" i="9"/>
  <c r="W793" i="9"/>
  <c r="W791" i="9"/>
  <c r="AF249" i="4"/>
  <c r="AF248" i="4"/>
  <c r="AF247" i="4"/>
  <c r="AJ246" i="4"/>
  <c r="E246" i="4" s="1"/>
  <c r="AJ245" i="4"/>
  <c r="E245" i="4" s="1"/>
  <c r="AK244" i="4"/>
  <c r="H244" i="4" s="1"/>
  <c r="AK243" i="4"/>
  <c r="AK242" i="4"/>
  <c r="AK241" i="4"/>
  <c r="AK240" i="4"/>
  <c r="AK239" i="4"/>
  <c r="AK238" i="4"/>
  <c r="AJ227" i="4"/>
  <c r="E227" i="4" s="1"/>
  <c r="AJ226" i="4"/>
  <c r="E226" i="4" s="1"/>
  <c r="AJ225" i="4"/>
  <c r="E225" i="4" s="1"/>
  <c r="AJ224" i="4"/>
  <c r="E224" i="4" s="1"/>
  <c r="AJ223" i="4"/>
  <c r="E223" i="4" s="1"/>
  <c r="AK205" i="4"/>
  <c r="H205" i="4" s="1"/>
  <c r="AK204" i="4"/>
  <c r="H204" i="4" s="1"/>
  <c r="AF203" i="4"/>
  <c r="AF202" i="4"/>
  <c r="AJ201" i="4"/>
  <c r="E201" i="4" s="1"/>
  <c r="AJ200" i="4"/>
  <c r="E200" i="4" s="1"/>
  <c r="AJ199" i="4"/>
  <c r="E199" i="4" s="1"/>
  <c r="AJ198" i="4"/>
  <c r="E198" i="4" s="1"/>
  <c r="AJ197" i="4"/>
  <c r="E197" i="4" s="1"/>
  <c r="AJ196" i="4"/>
  <c r="E196" i="4" s="1"/>
  <c r="AJ195" i="4"/>
  <c r="E195" i="4" s="1"/>
  <c r="AJ194" i="4"/>
  <c r="E194" i="4" s="1"/>
  <c r="AF183" i="4"/>
  <c r="AF182" i="4"/>
  <c r="AF181" i="4"/>
  <c r="AF180" i="4"/>
  <c r="AF179" i="4"/>
  <c r="AJ178" i="4"/>
  <c r="E178" i="4" s="1"/>
  <c r="AJ177" i="4"/>
  <c r="E177" i="4" s="1"/>
  <c r="AJ176" i="4"/>
  <c r="E176" i="4" s="1"/>
  <c r="AJ175" i="4"/>
  <c r="E175" i="4" s="1"/>
  <c r="AJ174" i="4"/>
  <c r="E174" i="4" s="1"/>
  <c r="AJ173" i="4"/>
  <c r="E173" i="4" s="1"/>
  <c r="AJ172" i="4"/>
  <c r="E172" i="4" s="1"/>
  <c r="AF161" i="4"/>
  <c r="AF160" i="4"/>
  <c r="AF159" i="4"/>
  <c r="AF158" i="4"/>
  <c r="AF157" i="4"/>
  <c r="AK156" i="4"/>
  <c r="AK155" i="4"/>
  <c r="AK154" i="4"/>
  <c r="AK153" i="4"/>
  <c r="AK152" i="4"/>
  <c r="AK151" i="4"/>
  <c r="AK150" i="4"/>
  <c r="AK248" i="4"/>
  <c r="H248" i="4" s="1"/>
  <c r="AF238" i="4"/>
  <c r="AJ221" i="4"/>
  <c r="E221" i="4" s="1"/>
  <c r="AJ218" i="4"/>
  <c r="E218" i="4" s="1"/>
  <c r="AJ216" i="4"/>
  <c r="E216" i="4" s="1"/>
  <c r="AF204" i="4"/>
  <c r="AK202" i="4"/>
  <c r="H202" i="4" s="1"/>
  <c r="AK183" i="4"/>
  <c r="AK181" i="4"/>
  <c r="AK179" i="4"/>
  <c r="AK160" i="4"/>
  <c r="H160" i="4" s="1"/>
  <c r="AK158" i="4"/>
  <c r="H158" i="4" s="1"/>
  <c r="AF155" i="4"/>
  <c r="AF153" i="4"/>
  <c r="AF151" i="4"/>
  <c r="AJ247" i="4"/>
  <c r="E247" i="4" s="1"/>
  <c r="AK227" i="4"/>
  <c r="H227" i="4" s="1"/>
  <c r="AK225" i="4"/>
  <c r="H225" i="4" s="1"/>
  <c r="AK223" i="4"/>
  <c r="H223" i="4" s="1"/>
  <c r="AF221" i="4"/>
  <c r="AF219" i="4"/>
  <c r="AF217" i="4"/>
  <c r="AJ203" i="4"/>
  <c r="E203" i="4" s="1"/>
  <c r="AK201" i="4"/>
  <c r="H201" i="4" s="1"/>
  <c r="AK199" i="4"/>
  <c r="AK197" i="4"/>
  <c r="AF246" i="4"/>
  <c r="AF245" i="4"/>
  <c r="AJ244" i="4"/>
  <c r="E244" i="4" s="1"/>
  <c r="AJ243" i="4"/>
  <c r="E243" i="4" s="1"/>
  <c r="AJ242" i="4"/>
  <c r="E242" i="4" s="1"/>
  <c r="AJ241" i="4"/>
  <c r="E241" i="4" s="1"/>
  <c r="AJ240" i="4"/>
  <c r="E240" i="4" s="1"/>
  <c r="AJ239" i="4"/>
  <c r="E239" i="4" s="1"/>
  <c r="AJ238" i="4"/>
  <c r="E238" i="4" s="1"/>
  <c r="AF227" i="4"/>
  <c r="AF226" i="4"/>
  <c r="AF225" i="4"/>
  <c r="AF224" i="4"/>
  <c r="AF223" i="4"/>
  <c r="AK222" i="4"/>
  <c r="H222" i="4" s="1"/>
  <c r="AK221" i="4"/>
  <c r="AK220" i="4"/>
  <c r="AK219" i="4"/>
  <c r="AK218" i="4"/>
  <c r="AK217" i="4"/>
  <c r="AK216" i="4"/>
  <c r="AJ205" i="4"/>
  <c r="E205" i="4" s="1"/>
  <c r="AJ204" i="4"/>
  <c r="E204" i="4" s="1"/>
  <c r="AF201" i="4"/>
  <c r="AF200" i="4"/>
  <c r="AF199" i="4"/>
  <c r="AF198" i="4"/>
  <c r="AF197" i="4"/>
  <c r="AF196" i="4"/>
  <c r="AF195" i="4"/>
  <c r="AF194" i="4"/>
  <c r="AF178" i="4"/>
  <c r="AF177" i="4"/>
  <c r="AF176" i="4"/>
  <c r="AF175" i="4"/>
  <c r="AF174" i="4"/>
  <c r="AF173" i="4"/>
  <c r="AF172" i="4"/>
  <c r="AJ156" i="4"/>
  <c r="E156" i="4" s="1"/>
  <c r="AJ155" i="4"/>
  <c r="E155" i="4" s="1"/>
  <c r="AJ154" i="4"/>
  <c r="E154" i="4" s="1"/>
  <c r="AJ153" i="4"/>
  <c r="E153" i="4" s="1"/>
  <c r="AJ152" i="4"/>
  <c r="E152" i="4" s="1"/>
  <c r="AJ151" i="4"/>
  <c r="E151" i="4" s="1"/>
  <c r="AJ150" i="4"/>
  <c r="E150" i="4" s="1"/>
  <c r="AK249" i="4"/>
  <c r="H249" i="4" s="1"/>
  <c r="AK247" i="4"/>
  <c r="H247" i="4" s="1"/>
  <c r="AF244" i="4"/>
  <c r="AF243" i="4"/>
  <c r="AF242" i="4"/>
  <c r="AF241" i="4"/>
  <c r="AF240" i="4"/>
  <c r="AF239" i="4"/>
  <c r="AJ222" i="4"/>
  <c r="E222" i="4" s="1"/>
  <c r="AJ220" i="4"/>
  <c r="E220" i="4" s="1"/>
  <c r="AJ219" i="4"/>
  <c r="E219" i="4" s="1"/>
  <c r="AJ217" i="4"/>
  <c r="E217" i="4" s="1"/>
  <c r="AF205" i="4"/>
  <c r="AK203" i="4"/>
  <c r="H203" i="4" s="1"/>
  <c r="AK182" i="4"/>
  <c r="AK180" i="4"/>
  <c r="AK161" i="4"/>
  <c r="H161" i="4" s="1"/>
  <c r="AK159" i="4"/>
  <c r="H159" i="4" s="1"/>
  <c r="AK157" i="4"/>
  <c r="H157" i="4" s="1"/>
  <c r="AF156" i="4"/>
  <c r="AF154" i="4"/>
  <c r="AF152" i="4"/>
  <c r="AF150" i="4"/>
  <c r="AJ249" i="4"/>
  <c r="E249" i="4" s="1"/>
  <c r="AJ248" i="4"/>
  <c r="E248" i="4" s="1"/>
  <c r="AK246" i="4"/>
  <c r="H246" i="4" s="1"/>
  <c r="AK245" i="4"/>
  <c r="H245" i="4" s="1"/>
  <c r="AK226" i="4"/>
  <c r="H226" i="4" s="1"/>
  <c r="AK224" i="4"/>
  <c r="H224" i="4" s="1"/>
  <c r="AF222" i="4"/>
  <c r="AF220" i="4"/>
  <c r="AF218" i="4"/>
  <c r="AF216" i="4"/>
  <c r="AJ202" i="4"/>
  <c r="E202" i="4" s="1"/>
  <c r="AK200" i="4"/>
  <c r="H200" i="4" s="1"/>
  <c r="AK198" i="4"/>
  <c r="AJ180" i="4"/>
  <c r="E180" i="4" s="1"/>
  <c r="AK196" i="4"/>
  <c r="AK194" i="4"/>
  <c r="AJ161" i="4"/>
  <c r="E161" i="4" s="1"/>
  <c r="AJ159" i="4"/>
  <c r="E159" i="4" s="1"/>
  <c r="AJ157" i="4"/>
  <c r="E157" i="4" s="1"/>
  <c r="AJ183" i="4"/>
  <c r="E183" i="4" s="1"/>
  <c r="AJ181" i="4"/>
  <c r="E181" i="4" s="1"/>
  <c r="AJ179" i="4"/>
  <c r="E179" i="4" s="1"/>
  <c r="AK177" i="4"/>
  <c r="AK175" i="4"/>
  <c r="AK173" i="4"/>
  <c r="AK195" i="4"/>
  <c r="AJ160" i="4"/>
  <c r="E160" i="4" s="1"/>
  <c r="AJ158" i="4"/>
  <c r="E158" i="4" s="1"/>
  <c r="AJ182" i="4"/>
  <c r="E182" i="4" s="1"/>
  <c r="AK178" i="4"/>
  <c r="AK176" i="4"/>
  <c r="AK174" i="4"/>
  <c r="AK172" i="4"/>
  <c r="AJ139" i="4"/>
  <c r="E139" i="4" s="1"/>
  <c r="AJ138" i="4"/>
  <c r="E138" i="4" s="1"/>
  <c r="AJ137" i="4"/>
  <c r="E137" i="4" s="1"/>
  <c r="AJ136" i="4"/>
  <c r="E136" i="4" s="1"/>
  <c r="AJ135" i="4"/>
  <c r="E135" i="4" s="1"/>
  <c r="AJ134" i="4"/>
  <c r="E134" i="4" s="1"/>
  <c r="AJ133" i="4"/>
  <c r="E133" i="4" s="1"/>
  <c r="AJ132" i="4"/>
  <c r="E132" i="4" s="1"/>
  <c r="AJ131" i="4"/>
  <c r="E131" i="4" s="1"/>
  <c r="AJ130" i="4"/>
  <c r="E130" i="4" s="1"/>
  <c r="AJ129" i="4"/>
  <c r="E129" i="4" s="1"/>
  <c r="AF117" i="4"/>
  <c r="AF116" i="4"/>
  <c r="AF115" i="4"/>
  <c r="AF114" i="4"/>
  <c r="AF113" i="4"/>
  <c r="AF112" i="4"/>
  <c r="AF111" i="4"/>
  <c r="AF110" i="4"/>
  <c r="AF109" i="4"/>
  <c r="AF108" i="4"/>
  <c r="AJ117" i="4"/>
  <c r="E117" i="4" s="1"/>
  <c r="AJ114" i="4"/>
  <c r="E114" i="4" s="1"/>
  <c r="AJ112" i="4"/>
  <c r="E112" i="4" s="1"/>
  <c r="AJ110" i="4"/>
  <c r="E110" i="4" s="1"/>
  <c r="AJ108" i="4"/>
  <c r="E108" i="4" s="1"/>
  <c r="AF139" i="4"/>
  <c r="AF138" i="4"/>
  <c r="AF137" i="4"/>
  <c r="AF136" i="4"/>
  <c r="AF135" i="4"/>
  <c r="AF134" i="4"/>
  <c r="AF133" i="4"/>
  <c r="AF132" i="4"/>
  <c r="AF131" i="4"/>
  <c r="AF130" i="4"/>
  <c r="AK106" i="4"/>
  <c r="AK128" i="4"/>
  <c r="AK117" i="4"/>
  <c r="H117" i="4" s="1"/>
  <c r="AK116" i="4"/>
  <c r="H116" i="4" s="1"/>
  <c r="AK115" i="4"/>
  <c r="H115" i="4" s="1"/>
  <c r="AK114" i="4"/>
  <c r="H114" i="4" s="1"/>
  <c r="AK113" i="4"/>
  <c r="H113" i="4" s="1"/>
  <c r="AK112" i="4"/>
  <c r="AK111" i="4"/>
  <c r="AK110" i="4"/>
  <c r="AK109" i="4"/>
  <c r="AK108" i="4"/>
  <c r="AK107" i="4"/>
  <c r="AJ106" i="4"/>
  <c r="E106" i="4" s="1"/>
  <c r="AK139" i="4"/>
  <c r="H139" i="4" s="1"/>
  <c r="AK138" i="4"/>
  <c r="H138" i="4" s="1"/>
  <c r="AK137" i="4"/>
  <c r="H137" i="4" s="1"/>
  <c r="AK136" i="4"/>
  <c r="H136" i="4" s="1"/>
  <c r="AK135" i="4"/>
  <c r="H135" i="4" s="1"/>
  <c r="AK134" i="4"/>
  <c r="AK133" i="4"/>
  <c r="AK132" i="4"/>
  <c r="AK131" i="4"/>
  <c r="AK130" i="4"/>
  <c r="AK129" i="4"/>
  <c r="AJ128" i="4"/>
  <c r="E128" i="4" s="1"/>
  <c r="AJ116" i="4"/>
  <c r="E116" i="4" s="1"/>
  <c r="AJ115" i="4"/>
  <c r="E115" i="4" s="1"/>
  <c r="AJ113" i="4"/>
  <c r="E113" i="4" s="1"/>
  <c r="AJ111" i="4"/>
  <c r="E111" i="4" s="1"/>
  <c r="AJ109" i="4"/>
  <c r="E109" i="4" s="1"/>
  <c r="AJ107" i="4"/>
  <c r="E107" i="4" s="1"/>
  <c r="AF107" i="4"/>
  <c r="AF106" i="4"/>
  <c r="AF129" i="4"/>
  <c r="AF128" i="4"/>
  <c r="AK93" i="4"/>
  <c r="H93" i="4" s="1"/>
  <c r="AJ92" i="4"/>
  <c r="E92" i="4" s="1"/>
  <c r="AF91" i="4"/>
  <c r="AK85" i="4"/>
  <c r="AK84" i="4"/>
  <c r="AK73" i="4"/>
  <c r="H73" i="4" s="1"/>
  <c r="AK72" i="4"/>
  <c r="H72" i="4" s="1"/>
  <c r="AK71" i="4"/>
  <c r="H71" i="4" s="1"/>
  <c r="AK70" i="4"/>
  <c r="H70" i="4" s="1"/>
  <c r="AK69" i="4"/>
  <c r="H69" i="4" s="1"/>
  <c r="AK68" i="4"/>
  <c r="AK67" i="4"/>
  <c r="AK66" i="4"/>
  <c r="H66" i="4" s="1"/>
  <c r="AK65" i="4"/>
  <c r="AK64" i="4"/>
  <c r="AK63" i="4"/>
  <c r="AK62" i="4"/>
  <c r="AK95" i="4"/>
  <c r="H95" i="4" s="1"/>
  <c r="AK94" i="4"/>
  <c r="H94" i="4" s="1"/>
  <c r="AJ93" i="4"/>
  <c r="E93" i="4" s="1"/>
  <c r="AF92" i="4"/>
  <c r="AK90" i="4"/>
  <c r="AK89" i="4"/>
  <c r="AK88" i="4"/>
  <c r="AK87" i="4"/>
  <c r="AK86" i="4"/>
  <c r="AJ85" i="4"/>
  <c r="E85" i="4" s="1"/>
  <c r="AJ84" i="4"/>
  <c r="E84" i="4" s="1"/>
  <c r="AJ73" i="4"/>
  <c r="E73" i="4" s="1"/>
  <c r="AJ72" i="4"/>
  <c r="E72" i="4" s="1"/>
  <c r="AJ71" i="4"/>
  <c r="E71" i="4" s="1"/>
  <c r="AJ70" i="4"/>
  <c r="E70" i="4" s="1"/>
  <c r="AJ69" i="4"/>
  <c r="E69" i="4" s="1"/>
  <c r="AJ68" i="4"/>
  <c r="E68" i="4" s="1"/>
  <c r="AJ67" i="4"/>
  <c r="E67" i="4" s="1"/>
  <c r="AJ66" i="4"/>
  <c r="E66" i="4" s="1"/>
  <c r="AJ65" i="4"/>
  <c r="E65" i="4" s="1"/>
  <c r="AJ64" i="4"/>
  <c r="E64" i="4" s="1"/>
  <c r="AJ63" i="4"/>
  <c r="E63" i="4" s="1"/>
  <c r="AJ62" i="4"/>
  <c r="E62" i="4" s="1"/>
  <c r="AJ95" i="4"/>
  <c r="E95" i="4" s="1"/>
  <c r="AJ94" i="4"/>
  <c r="E94" i="4" s="1"/>
  <c r="AF93" i="4"/>
  <c r="AK91" i="4"/>
  <c r="H91" i="4" s="1"/>
  <c r="AJ90" i="4"/>
  <c r="E90" i="4" s="1"/>
  <c r="AJ89" i="4"/>
  <c r="E89" i="4" s="1"/>
  <c r="AJ88" i="4"/>
  <c r="E88" i="4" s="1"/>
  <c r="AJ87" i="4"/>
  <c r="E87" i="4" s="1"/>
  <c r="AJ86" i="4"/>
  <c r="E86" i="4" s="1"/>
  <c r="AF85" i="4"/>
  <c r="AF84" i="4"/>
  <c r="AF73" i="4"/>
  <c r="AF72" i="4"/>
  <c r="AF71" i="4"/>
  <c r="AF70" i="4"/>
  <c r="AF69" i="4"/>
  <c r="AF68" i="4"/>
  <c r="AF67" i="4"/>
  <c r="AF66" i="4"/>
  <c r="AF65" i="4"/>
  <c r="AF64" i="4"/>
  <c r="AF63" i="4"/>
  <c r="AF62" i="4"/>
  <c r="AF95" i="4"/>
  <c r="AF94" i="4"/>
  <c r="AK92" i="4"/>
  <c r="H92" i="4" s="1"/>
  <c r="AJ91" i="4"/>
  <c r="E91" i="4" s="1"/>
  <c r="AF90" i="4"/>
  <c r="AF89" i="4"/>
  <c r="AF88" i="4"/>
  <c r="AF87" i="4"/>
  <c r="AF86" i="4"/>
  <c r="AF47" i="4"/>
  <c r="AJ48" i="4"/>
  <c r="E48" i="4" s="1"/>
  <c r="AK49" i="4"/>
  <c r="AK48" i="4"/>
  <c r="H48" i="4" s="1"/>
  <c r="AF50" i="4"/>
  <c r="AF49" i="4"/>
  <c r="AJ47" i="4"/>
  <c r="E47" i="4" s="1"/>
  <c r="AK47" i="4"/>
  <c r="AJ50" i="4"/>
  <c r="E50" i="4" s="1"/>
  <c r="AF48" i="4"/>
  <c r="AJ49" i="4"/>
  <c r="E49" i="4" s="1"/>
  <c r="AK50" i="4"/>
  <c r="R471" i="9"/>
  <c r="R473" i="9"/>
  <c r="R470" i="9"/>
  <c r="R468" i="9"/>
  <c r="R469" i="9"/>
  <c r="R472" i="9"/>
  <c r="AK42" i="4"/>
  <c r="AK46" i="4"/>
  <c r="AK45" i="4"/>
  <c r="AK43" i="4"/>
  <c r="AK51" i="4"/>
  <c r="H51" i="4" s="1"/>
  <c r="AK44" i="4"/>
  <c r="AK40" i="4"/>
  <c r="AK41" i="4"/>
  <c r="AJ40" i="4"/>
  <c r="E40" i="4" s="1"/>
  <c r="W61" i="9"/>
  <c r="AJ44" i="4"/>
  <c r="E44" i="4" s="1"/>
  <c r="AJ42" i="4"/>
  <c r="E42" i="4" s="1"/>
  <c r="AJ41" i="4"/>
  <c r="E41" i="4" s="1"/>
  <c r="AF51" i="4"/>
  <c r="AF46" i="4"/>
  <c r="AF44" i="4"/>
  <c r="AJ45" i="4"/>
  <c r="AJ43" i="4"/>
  <c r="E43" i="4" s="1"/>
  <c r="AJ46" i="4"/>
  <c r="E46" i="4" s="1"/>
  <c r="AJ51" i="4"/>
  <c r="AF45" i="4"/>
  <c r="AF43" i="4"/>
  <c r="AF42" i="4"/>
  <c r="AF40" i="4"/>
  <c r="AF41" i="4"/>
  <c r="W62" i="9"/>
  <c r="W69" i="9"/>
  <c r="W65" i="9"/>
  <c r="W73" i="9"/>
  <c r="W72" i="9"/>
  <c r="W64" i="9"/>
  <c r="W67" i="9"/>
  <c r="W90" i="9"/>
  <c r="W82" i="9"/>
  <c r="W88" i="9"/>
  <c r="W74" i="9"/>
  <c r="W79" i="9"/>
  <c r="W93" i="9"/>
  <c r="W71" i="9"/>
  <c r="W85" i="9"/>
  <c r="W84" i="9"/>
  <c r="W75" i="9"/>
  <c r="W89" i="9"/>
  <c r="W83" i="9"/>
  <c r="W76" i="9"/>
  <c r="W87" i="9"/>
  <c r="W95" i="9"/>
  <c r="W86" i="9"/>
  <c r="W94" i="9"/>
  <c r="W80" i="9"/>
  <c r="W91" i="9"/>
  <c r="W92" i="9"/>
  <c r="W78" i="9"/>
  <c r="W81" i="9"/>
  <c r="W77" i="9"/>
  <c r="W96" i="9"/>
  <c r="W70" i="9"/>
  <c r="Y70" i="9" s="1"/>
  <c r="W68" i="9"/>
  <c r="W66" i="9"/>
  <c r="W63" i="9"/>
  <c r="D101" i="9"/>
  <c r="S101" i="9" s="1"/>
  <c r="Q101" i="9" s="1"/>
  <c r="D139" i="9"/>
  <c r="D176" i="9"/>
  <c r="S176" i="9" s="1"/>
  <c r="Q176" i="9" s="1"/>
  <c r="S70" i="9"/>
  <c r="Q70" i="9" s="1"/>
  <c r="D116" i="9"/>
  <c r="D161" i="9"/>
  <c r="D79" i="9"/>
  <c r="S79" i="9" s="1"/>
  <c r="Q79" i="9" s="1"/>
  <c r="D113" i="9"/>
  <c r="D156" i="9"/>
  <c r="D192" i="9"/>
  <c r="D125" i="9"/>
  <c r="X60" i="9"/>
  <c r="W60" i="9" s="1"/>
  <c r="D219" i="9"/>
  <c r="S219" i="9" s="1"/>
  <c r="Q219" i="9" s="1"/>
  <c r="D248" i="9"/>
  <c r="D286" i="9"/>
  <c r="S286" i="9" s="1"/>
  <c r="Q286" i="9" s="1"/>
  <c r="D323" i="9"/>
  <c r="S323" i="9" s="1"/>
  <c r="Q323" i="9" s="1"/>
  <c r="D229" i="9"/>
  <c r="S229" i="9" s="1"/>
  <c r="Q229" i="9" s="1"/>
  <c r="D258" i="9"/>
  <c r="D294" i="9"/>
  <c r="S294" i="9" s="1"/>
  <c r="Q294" i="9" s="1"/>
  <c r="D332" i="9"/>
  <c r="S332" i="9" s="1"/>
  <c r="Q332" i="9" s="1"/>
  <c r="D199" i="9"/>
  <c r="D239" i="9"/>
  <c r="D266" i="9"/>
  <c r="S266" i="9" s="1"/>
  <c r="Q266" i="9" s="1"/>
  <c r="D302" i="9"/>
  <c r="S302" i="9" s="1"/>
  <c r="Q302" i="9" s="1"/>
  <c r="D341" i="9"/>
  <c r="S341" i="9" s="1"/>
  <c r="Q341" i="9" s="1"/>
  <c r="X786" i="9"/>
  <c r="W786" i="9" s="1"/>
  <c r="D209" i="9"/>
  <c r="D274" i="9"/>
  <c r="S274" i="9" s="1"/>
  <c r="Q274" i="9" s="1"/>
  <c r="D314" i="9"/>
  <c r="S314" i="9" s="1"/>
  <c r="Q314" i="9" s="1"/>
  <c r="D436" i="9"/>
  <c r="S436" i="9" s="1"/>
  <c r="Q436" i="9" s="1"/>
  <c r="D536" i="9"/>
  <c r="S536" i="9" s="1"/>
  <c r="P536" i="9" s="1"/>
  <c r="D557" i="9"/>
  <c r="S557" i="9" s="1"/>
  <c r="D573" i="9"/>
  <c r="S573" i="9" s="1"/>
  <c r="P573" i="9" s="1"/>
  <c r="D592" i="9"/>
  <c r="S592" i="9" s="1"/>
  <c r="D633" i="9"/>
  <c r="D680" i="9"/>
  <c r="S680" i="9" s="1"/>
  <c r="D706" i="9"/>
  <c r="S706" i="9" s="1"/>
  <c r="D171" i="9"/>
  <c r="S171" i="9" s="1"/>
  <c r="Q171" i="9" s="1"/>
  <c r="D90" i="9"/>
  <c r="D372" i="9"/>
  <c r="S372" i="9" s="1"/>
  <c r="Q372" i="9" s="1"/>
  <c r="D188" i="9"/>
  <c r="I51" i="4" l="1"/>
  <c r="V51" i="4"/>
  <c r="Z51" i="4" s="1"/>
  <c r="U51" i="4"/>
  <c r="Y51" i="4" s="1"/>
  <c r="T51" i="4"/>
  <c r="X51" i="4" s="1"/>
  <c r="I48" i="4"/>
  <c r="U48" i="4"/>
  <c r="Y48" i="4" s="1"/>
  <c r="V48" i="4"/>
  <c r="Z48" i="4" s="1"/>
  <c r="T48" i="4"/>
  <c r="X48" i="4" s="1"/>
  <c r="I72" i="4"/>
  <c r="T72" i="4"/>
  <c r="X72" i="4" s="1"/>
  <c r="V72" i="4"/>
  <c r="Z72" i="4" s="1"/>
  <c r="U72" i="4"/>
  <c r="Y72" i="4" s="1"/>
  <c r="I73" i="4"/>
  <c r="T73" i="4"/>
  <c r="X73" i="4" s="1"/>
  <c r="V73" i="4"/>
  <c r="Z73" i="4" s="1"/>
  <c r="U73" i="4"/>
  <c r="Y73" i="4" s="1"/>
  <c r="I66" i="4"/>
  <c r="T66" i="4"/>
  <c r="X66" i="4" s="1"/>
  <c r="U66" i="4"/>
  <c r="Y66" i="4" s="1"/>
  <c r="V66" i="4"/>
  <c r="Z66" i="4" s="1"/>
  <c r="I69" i="4"/>
  <c r="T69" i="4"/>
  <c r="X69" i="4" s="1"/>
  <c r="V69" i="4"/>
  <c r="Z69" i="4" s="1"/>
  <c r="U69" i="4"/>
  <c r="Y69" i="4" s="1"/>
  <c r="I70" i="4"/>
  <c r="U70" i="4"/>
  <c r="Y70" i="4" s="1"/>
  <c r="T70" i="4"/>
  <c r="X70" i="4" s="1"/>
  <c r="V70" i="4"/>
  <c r="Z70" i="4" s="1"/>
  <c r="I71" i="4"/>
  <c r="U71" i="4"/>
  <c r="Y71" i="4" s="1"/>
  <c r="T71" i="4"/>
  <c r="X71" i="4" s="1"/>
  <c r="V71" i="4"/>
  <c r="Z71" i="4" s="1"/>
  <c r="I91" i="4"/>
  <c r="V91" i="4"/>
  <c r="Z91" i="4" s="1"/>
  <c r="U91" i="4"/>
  <c r="Y91" i="4" s="1"/>
  <c r="T91" i="4"/>
  <c r="X91" i="4" s="1"/>
  <c r="I94" i="4"/>
  <c r="V94" i="4"/>
  <c r="Z94" i="4" s="1"/>
  <c r="U94" i="4"/>
  <c r="Y94" i="4" s="1"/>
  <c r="T94" i="4"/>
  <c r="X94" i="4" s="1"/>
  <c r="I92" i="4"/>
  <c r="V92" i="4"/>
  <c r="Z92" i="4" s="1"/>
  <c r="U92" i="4"/>
  <c r="Y92" i="4" s="1"/>
  <c r="T92" i="4"/>
  <c r="X92" i="4" s="1"/>
  <c r="I93" i="4"/>
  <c r="V93" i="4"/>
  <c r="Z93" i="4" s="1"/>
  <c r="U93" i="4"/>
  <c r="Y93" i="4" s="1"/>
  <c r="T93" i="4"/>
  <c r="X93" i="4" s="1"/>
  <c r="I95" i="4"/>
  <c r="V95" i="4"/>
  <c r="Z95" i="4" s="1"/>
  <c r="U95" i="4"/>
  <c r="Y95" i="4" s="1"/>
  <c r="T95" i="4"/>
  <c r="X95" i="4" s="1"/>
  <c r="I245" i="4"/>
  <c r="V245" i="4"/>
  <c r="Z245" i="4" s="1"/>
  <c r="U245" i="4"/>
  <c r="Y245" i="4" s="1"/>
  <c r="T245" i="4"/>
  <c r="X245" i="4" s="1"/>
  <c r="I246" i="4"/>
  <c r="V246" i="4"/>
  <c r="Z246" i="4" s="1"/>
  <c r="U246" i="4"/>
  <c r="Y246" i="4" s="1"/>
  <c r="T246" i="4"/>
  <c r="X246" i="4" s="1"/>
  <c r="I247" i="4"/>
  <c r="V247" i="4"/>
  <c r="Z247" i="4" s="1"/>
  <c r="U247" i="4"/>
  <c r="Y247" i="4" s="1"/>
  <c r="T247" i="4"/>
  <c r="X247" i="4" s="1"/>
  <c r="I248" i="4"/>
  <c r="T248" i="4"/>
  <c r="X248" i="4" s="1"/>
  <c r="V248" i="4"/>
  <c r="Z248" i="4" s="1"/>
  <c r="U248" i="4"/>
  <c r="Y248" i="4" s="1"/>
  <c r="I244" i="4"/>
  <c r="T244" i="4"/>
  <c r="X244" i="4" s="1"/>
  <c r="V244" i="4"/>
  <c r="Z244" i="4" s="1"/>
  <c r="U244" i="4"/>
  <c r="Y244" i="4" s="1"/>
  <c r="I249" i="4"/>
  <c r="V249" i="4"/>
  <c r="Z249" i="4" s="1"/>
  <c r="U249" i="4"/>
  <c r="Y249" i="4" s="1"/>
  <c r="T249" i="4"/>
  <c r="X249" i="4" s="1"/>
  <c r="I224" i="4"/>
  <c r="V224" i="4"/>
  <c r="Z224" i="4" s="1"/>
  <c r="U224" i="4"/>
  <c r="Y224" i="4" s="1"/>
  <c r="T224" i="4"/>
  <c r="X224" i="4" s="1"/>
  <c r="I226" i="4"/>
  <c r="V226" i="4"/>
  <c r="Z226" i="4" s="1"/>
  <c r="U226" i="4"/>
  <c r="Y226" i="4" s="1"/>
  <c r="T226" i="4"/>
  <c r="X226" i="4" s="1"/>
  <c r="I223" i="4"/>
  <c r="V223" i="4"/>
  <c r="Z223" i="4" s="1"/>
  <c r="U223" i="4"/>
  <c r="Y223" i="4" s="1"/>
  <c r="T223" i="4"/>
  <c r="X223" i="4" s="1"/>
  <c r="I225" i="4"/>
  <c r="V225" i="4"/>
  <c r="Z225" i="4" s="1"/>
  <c r="U225" i="4"/>
  <c r="Y225" i="4" s="1"/>
  <c r="T225" i="4"/>
  <c r="X225" i="4" s="1"/>
  <c r="I222" i="4"/>
  <c r="V222" i="4"/>
  <c r="Z222" i="4" s="1"/>
  <c r="U222" i="4"/>
  <c r="Y222" i="4" s="1"/>
  <c r="T222" i="4"/>
  <c r="X222" i="4" s="1"/>
  <c r="I227" i="4"/>
  <c r="V227" i="4"/>
  <c r="Z227" i="4" s="1"/>
  <c r="U227" i="4"/>
  <c r="Y227" i="4" s="1"/>
  <c r="T227" i="4"/>
  <c r="X227" i="4" s="1"/>
  <c r="I203" i="4"/>
  <c r="V203" i="4"/>
  <c r="Z203" i="4" s="1"/>
  <c r="U203" i="4"/>
  <c r="Y203" i="4" s="1"/>
  <c r="T203" i="4"/>
  <c r="X203" i="4" s="1"/>
  <c r="I205" i="4"/>
  <c r="T205" i="4"/>
  <c r="X205" i="4" s="1"/>
  <c r="V205" i="4"/>
  <c r="Z205" i="4" s="1"/>
  <c r="U205" i="4"/>
  <c r="Y205" i="4" s="1"/>
  <c r="I200" i="4"/>
  <c r="T200" i="4"/>
  <c r="X200" i="4" s="1"/>
  <c r="V200" i="4"/>
  <c r="Z200" i="4" s="1"/>
  <c r="U200" i="4"/>
  <c r="Y200" i="4" s="1"/>
  <c r="I204" i="4"/>
  <c r="V204" i="4"/>
  <c r="Z204" i="4" s="1"/>
  <c r="U204" i="4"/>
  <c r="Y204" i="4" s="1"/>
  <c r="T204" i="4"/>
  <c r="X204" i="4" s="1"/>
  <c r="I201" i="4"/>
  <c r="V201" i="4"/>
  <c r="Z201" i="4" s="1"/>
  <c r="U201" i="4"/>
  <c r="Y201" i="4" s="1"/>
  <c r="T201" i="4"/>
  <c r="X201" i="4" s="1"/>
  <c r="I202" i="4"/>
  <c r="T202" i="4"/>
  <c r="X202" i="4" s="1"/>
  <c r="V202" i="4"/>
  <c r="Z202" i="4" s="1"/>
  <c r="U202" i="4"/>
  <c r="Y202" i="4" s="1"/>
  <c r="I158" i="4"/>
  <c r="V158" i="4"/>
  <c r="Z158" i="4" s="1"/>
  <c r="U158" i="4"/>
  <c r="Y158" i="4" s="1"/>
  <c r="T158" i="4"/>
  <c r="X158" i="4" s="1"/>
  <c r="I160" i="4"/>
  <c r="V160" i="4"/>
  <c r="Z160" i="4" s="1"/>
  <c r="U160" i="4"/>
  <c r="Y160" i="4" s="1"/>
  <c r="T160" i="4"/>
  <c r="X160" i="4" s="1"/>
  <c r="I157" i="4"/>
  <c r="V157" i="4"/>
  <c r="Z157" i="4" s="1"/>
  <c r="U157" i="4"/>
  <c r="Y157" i="4" s="1"/>
  <c r="T157" i="4"/>
  <c r="X157" i="4" s="1"/>
  <c r="I159" i="4"/>
  <c r="V159" i="4"/>
  <c r="Z159" i="4" s="1"/>
  <c r="U159" i="4"/>
  <c r="Y159" i="4" s="1"/>
  <c r="T159" i="4"/>
  <c r="X159" i="4" s="1"/>
  <c r="I161" i="4"/>
  <c r="V161" i="4"/>
  <c r="Z161" i="4" s="1"/>
  <c r="U161" i="4"/>
  <c r="Y161" i="4" s="1"/>
  <c r="T161" i="4"/>
  <c r="X161" i="4" s="1"/>
  <c r="U137" i="4"/>
  <c r="Y137" i="4" s="1"/>
  <c r="V137" i="4"/>
  <c r="Z137" i="4" s="1"/>
  <c r="T137" i="4"/>
  <c r="X137" i="4" s="1"/>
  <c r="U139" i="4"/>
  <c r="Y139" i="4" s="1"/>
  <c r="V139" i="4"/>
  <c r="Z139" i="4" s="1"/>
  <c r="T139" i="4"/>
  <c r="X139" i="4" s="1"/>
  <c r="U135" i="4"/>
  <c r="Y135" i="4" s="1"/>
  <c r="V135" i="4"/>
  <c r="Z135" i="4" s="1"/>
  <c r="T135" i="4"/>
  <c r="X135" i="4" s="1"/>
  <c r="U136" i="4"/>
  <c r="Y136" i="4" s="1"/>
  <c r="V136" i="4"/>
  <c r="Z136" i="4" s="1"/>
  <c r="T136" i="4"/>
  <c r="X136" i="4" s="1"/>
  <c r="U138" i="4"/>
  <c r="Y138" i="4" s="1"/>
  <c r="V138" i="4"/>
  <c r="Z138" i="4" s="1"/>
  <c r="T138" i="4"/>
  <c r="X138" i="4" s="1"/>
  <c r="I136" i="4"/>
  <c r="I137" i="4"/>
  <c r="I139" i="4"/>
  <c r="I135" i="4"/>
  <c r="I138" i="4"/>
  <c r="Y92" i="9"/>
  <c r="V117" i="4"/>
  <c r="Z117" i="4" s="1"/>
  <c r="T117" i="4"/>
  <c r="X117" i="4" s="1"/>
  <c r="U117" i="4"/>
  <c r="Y117" i="4" s="1"/>
  <c r="T113" i="4"/>
  <c r="X113" i="4" s="1"/>
  <c r="V113" i="4"/>
  <c r="Z113" i="4" s="1"/>
  <c r="U113" i="4"/>
  <c r="Y113" i="4" s="1"/>
  <c r="V114" i="4"/>
  <c r="Z114" i="4" s="1"/>
  <c r="T114" i="4"/>
  <c r="X114" i="4" s="1"/>
  <c r="U114" i="4"/>
  <c r="Y114" i="4" s="1"/>
  <c r="T115" i="4"/>
  <c r="X115" i="4" s="1"/>
  <c r="U115" i="4"/>
  <c r="Y115" i="4" s="1"/>
  <c r="V115" i="4"/>
  <c r="Z115" i="4" s="1"/>
  <c r="U116" i="4"/>
  <c r="Y116" i="4" s="1"/>
  <c r="T116" i="4"/>
  <c r="X116" i="4" s="1"/>
  <c r="V116" i="4"/>
  <c r="Z116" i="4" s="1"/>
  <c r="I117" i="4"/>
  <c r="I113" i="4"/>
  <c r="I114" i="4"/>
  <c r="I115" i="4"/>
  <c r="I116" i="4"/>
  <c r="Y78" i="9"/>
  <c r="Y94" i="9"/>
  <c r="Y84" i="9"/>
  <c r="Y81" i="9"/>
  <c r="Y87" i="9"/>
  <c r="Y90" i="9"/>
  <c r="S258" i="9"/>
  <c r="Q258" i="9" s="1"/>
  <c r="Y83" i="9"/>
  <c r="Y74" i="9"/>
  <c r="Y77" i="9"/>
  <c r="Y95" i="9"/>
  <c r="Y71" i="9"/>
  <c r="Y93" i="9"/>
  <c r="Y72" i="9"/>
  <c r="Y91" i="9"/>
  <c r="Y89" i="9"/>
  <c r="Y88" i="9"/>
  <c r="Y69" i="9"/>
  <c r="Y80" i="9"/>
  <c r="Y75" i="9"/>
  <c r="Y82" i="9"/>
  <c r="Y86" i="9"/>
  <c r="Y85" i="9"/>
  <c r="Y76" i="9"/>
  <c r="Y79" i="9"/>
  <c r="Y73" i="9"/>
  <c r="S199" i="9"/>
  <c r="Q199" i="9" s="1"/>
  <c r="S209" i="9"/>
  <c r="Q209" i="9" s="1"/>
  <c r="H182" i="4"/>
  <c r="H179" i="4"/>
  <c r="H181" i="4"/>
  <c r="H183" i="4"/>
  <c r="H180" i="4"/>
  <c r="Y793" i="9"/>
  <c r="U621" i="9"/>
  <c r="R621" i="9"/>
  <c r="D477" i="9"/>
  <c r="S476" i="9"/>
  <c r="P476" i="9" s="1"/>
  <c r="D725" i="9"/>
  <c r="S724" i="9"/>
  <c r="Y804" i="9"/>
  <c r="H50" i="4"/>
  <c r="H49" i="4"/>
  <c r="Y60" i="9"/>
  <c r="Y67" i="9"/>
  <c r="E51" i="4"/>
  <c r="E45" i="4"/>
  <c r="Y796" i="9"/>
  <c r="Y794" i="9"/>
  <c r="Y789" i="9"/>
  <c r="Y797" i="9"/>
  <c r="Y802" i="9"/>
  <c r="Y68" i="9"/>
  <c r="Y65" i="9"/>
  <c r="Y800" i="9"/>
  <c r="Y63" i="9"/>
  <c r="Y61" i="9"/>
  <c r="Y66" i="9"/>
  <c r="Y64" i="9"/>
  <c r="Y62" i="9"/>
  <c r="Y788" i="9"/>
  <c r="Y801" i="9"/>
  <c r="Y799" i="9"/>
  <c r="Y795" i="9"/>
  <c r="Y792" i="9"/>
  <c r="Y791" i="9"/>
  <c r="Y803" i="9"/>
  <c r="Y787" i="9"/>
  <c r="Y790" i="9"/>
  <c r="Y798" i="9"/>
  <c r="D140" i="9"/>
  <c r="D157" i="9"/>
  <c r="D80" i="9"/>
  <c r="S80" i="9" s="1"/>
  <c r="Q80" i="9" s="1"/>
  <c r="D117" i="9"/>
  <c r="D126" i="9"/>
  <c r="D162" i="9"/>
  <c r="D193" i="9"/>
  <c r="D172" i="9"/>
  <c r="S172" i="9" s="1"/>
  <c r="Q172" i="9" s="1"/>
  <c r="D177" i="9"/>
  <c r="D102" i="9"/>
  <c r="S102" i="9" s="1"/>
  <c r="Q102" i="9" s="1"/>
  <c r="D315" i="9"/>
  <c r="S315" i="9" s="1"/>
  <c r="Q315" i="9" s="1"/>
  <c r="D342" i="9"/>
  <c r="S342" i="9" s="1"/>
  <c r="Q342" i="9" s="1"/>
  <c r="D267" i="9"/>
  <c r="S267" i="9" s="1"/>
  <c r="Q267" i="9" s="1"/>
  <c r="D200" i="9"/>
  <c r="D295" i="9"/>
  <c r="S295" i="9" s="1"/>
  <c r="Q295" i="9" s="1"/>
  <c r="D230" i="9"/>
  <c r="S230" i="9" s="1"/>
  <c r="Q230" i="9" s="1"/>
  <c r="D324" i="9"/>
  <c r="S324" i="9" s="1"/>
  <c r="Q324" i="9" s="1"/>
  <c r="D249" i="9"/>
  <c r="D373" i="9"/>
  <c r="S373" i="9" s="1"/>
  <c r="Q373" i="9" s="1"/>
  <c r="D437" i="9"/>
  <c r="S437" i="9" s="1"/>
  <c r="Q437" i="9" s="1"/>
  <c r="D275" i="9"/>
  <c r="S275" i="9" s="1"/>
  <c r="Q275" i="9" s="1"/>
  <c r="D210" i="9"/>
  <c r="D303" i="9"/>
  <c r="S303" i="9" s="1"/>
  <c r="Q303" i="9" s="1"/>
  <c r="D240" i="9"/>
  <c r="D333" i="9"/>
  <c r="S333" i="9" s="1"/>
  <c r="Q333" i="9" s="1"/>
  <c r="D259" i="9"/>
  <c r="D287" i="9"/>
  <c r="S287" i="9" s="1"/>
  <c r="Q287" i="9" s="1"/>
  <c r="D220" i="9"/>
  <c r="S220" i="9" s="1"/>
  <c r="Q220" i="9" s="1"/>
  <c r="D707" i="9"/>
  <c r="S707" i="9" s="1"/>
  <c r="D681" i="9"/>
  <c r="S681" i="9" s="1"/>
  <c r="D593" i="9"/>
  <c r="S593" i="9" s="1"/>
  <c r="D558" i="9"/>
  <c r="S558" i="9" s="1"/>
  <c r="D634" i="9"/>
  <c r="D574" i="9"/>
  <c r="S574" i="9" s="1"/>
  <c r="P574" i="9" s="1"/>
  <c r="D537" i="9"/>
  <c r="S537" i="9" s="1"/>
  <c r="P537" i="9" s="1"/>
  <c r="D91" i="9"/>
  <c r="D189" i="9"/>
  <c r="H47" i="4"/>
  <c r="H45" i="4"/>
  <c r="AG63" i="4"/>
  <c r="V47" i="4" l="1"/>
  <c r="Z47" i="4" s="1"/>
  <c r="U47" i="4"/>
  <c r="Y47" i="4" s="1"/>
  <c r="T47" i="4"/>
  <c r="X47" i="4" s="1"/>
  <c r="I49" i="4"/>
  <c r="V49" i="4"/>
  <c r="Z49" i="4" s="1"/>
  <c r="U49" i="4"/>
  <c r="Y49" i="4" s="1"/>
  <c r="T49" i="4"/>
  <c r="X49" i="4" s="1"/>
  <c r="AA48" i="4"/>
  <c r="I50" i="4"/>
  <c r="U50" i="4"/>
  <c r="Y50" i="4" s="1"/>
  <c r="V50" i="4"/>
  <c r="Z50" i="4" s="1"/>
  <c r="T50" i="4"/>
  <c r="X50" i="4" s="1"/>
  <c r="AA51" i="4"/>
  <c r="AA70" i="4"/>
  <c r="U45" i="4"/>
  <c r="Y45" i="4" s="1"/>
  <c r="V45" i="4"/>
  <c r="Z45" i="4" s="1"/>
  <c r="T45" i="4"/>
  <c r="X45" i="4" s="1"/>
  <c r="AA71" i="4"/>
  <c r="AA73" i="4"/>
  <c r="AA69" i="4"/>
  <c r="AA66" i="4"/>
  <c r="AA72" i="4"/>
  <c r="AA93" i="4"/>
  <c r="AA94" i="4"/>
  <c r="AA95" i="4"/>
  <c r="AA92" i="4"/>
  <c r="AA91" i="4"/>
  <c r="AA222" i="4"/>
  <c r="AA223" i="4"/>
  <c r="AA224" i="4"/>
  <c r="AA247" i="4"/>
  <c r="AA245" i="4"/>
  <c r="AA249" i="4"/>
  <c r="AA246" i="4"/>
  <c r="AA248" i="4"/>
  <c r="AA244" i="4"/>
  <c r="AA227" i="4"/>
  <c r="AA225" i="4"/>
  <c r="AA226" i="4"/>
  <c r="AA202" i="4"/>
  <c r="AA205" i="4"/>
  <c r="AA159" i="4"/>
  <c r="AA160" i="4"/>
  <c r="AA204" i="4"/>
  <c r="AA161" i="4"/>
  <c r="AA157" i="4"/>
  <c r="AA158" i="4"/>
  <c r="AA201" i="4"/>
  <c r="AA203" i="4"/>
  <c r="AA200" i="4"/>
  <c r="I180" i="4"/>
  <c r="T180" i="4"/>
  <c r="X180" i="4" s="1"/>
  <c r="V180" i="4"/>
  <c r="Z180" i="4" s="1"/>
  <c r="U180" i="4"/>
  <c r="Y180" i="4" s="1"/>
  <c r="I183" i="4"/>
  <c r="T183" i="4"/>
  <c r="X183" i="4" s="1"/>
  <c r="V183" i="4"/>
  <c r="Z183" i="4" s="1"/>
  <c r="U183" i="4"/>
  <c r="Y183" i="4" s="1"/>
  <c r="I179" i="4"/>
  <c r="T179" i="4"/>
  <c r="X179" i="4" s="1"/>
  <c r="V179" i="4"/>
  <c r="Z179" i="4" s="1"/>
  <c r="U179" i="4"/>
  <c r="Y179" i="4" s="1"/>
  <c r="I181" i="4"/>
  <c r="V181" i="4"/>
  <c r="Z181" i="4" s="1"/>
  <c r="U181" i="4"/>
  <c r="Y181" i="4" s="1"/>
  <c r="T181" i="4"/>
  <c r="X181" i="4" s="1"/>
  <c r="I182" i="4"/>
  <c r="T182" i="4"/>
  <c r="X182" i="4" s="1"/>
  <c r="V182" i="4"/>
  <c r="Z182" i="4" s="1"/>
  <c r="U182" i="4"/>
  <c r="Y182" i="4" s="1"/>
  <c r="AA138" i="4"/>
  <c r="AA137" i="4"/>
  <c r="AA136" i="4"/>
  <c r="AA139" i="4"/>
  <c r="AA135" i="4"/>
  <c r="S177" i="9"/>
  <c r="Q177" i="9" s="1"/>
  <c r="D178" i="9"/>
  <c r="AA116" i="4"/>
  <c r="AA115" i="4"/>
  <c r="AA113" i="4"/>
  <c r="AA114" i="4"/>
  <c r="AA117" i="4"/>
  <c r="S259" i="9"/>
  <c r="Q259" i="9" s="1"/>
  <c r="S210" i="9"/>
  <c r="Q210" i="9" s="1"/>
  <c r="S200" i="9"/>
  <c r="Q200" i="9" s="1"/>
  <c r="M47" i="4"/>
  <c r="I47" i="4"/>
  <c r="M44" i="4"/>
  <c r="I45" i="4"/>
  <c r="M45" i="4"/>
  <c r="G623" i="9"/>
  <c r="U622" i="9"/>
  <c r="R622" i="9"/>
  <c r="D478" i="9"/>
  <c r="S477" i="9"/>
  <c r="P477" i="9" s="1"/>
  <c r="D726" i="9"/>
  <c r="S725" i="9"/>
  <c r="Y786" i="9"/>
  <c r="D194" i="9"/>
  <c r="D163" i="9"/>
  <c r="D118" i="9"/>
  <c r="D158" i="9"/>
  <c r="D103" i="9"/>
  <c r="S103" i="9" s="1"/>
  <c r="Q103" i="9" s="1"/>
  <c r="D173" i="9"/>
  <c r="S173" i="9" s="1"/>
  <c r="Q173" i="9" s="1"/>
  <c r="D127" i="9"/>
  <c r="D81" i="9"/>
  <c r="S81" i="9" s="1"/>
  <c r="Q81" i="9" s="1"/>
  <c r="D141" i="9"/>
  <c r="D241" i="9"/>
  <c r="D438" i="9"/>
  <c r="S438" i="9" s="1"/>
  <c r="Q438" i="9" s="1"/>
  <c r="D250" i="9"/>
  <c r="D304" i="9"/>
  <c r="S304" i="9" s="1"/>
  <c r="Q304" i="9" s="1"/>
  <c r="D231" i="9"/>
  <c r="S231" i="9" s="1"/>
  <c r="Q231" i="9" s="1"/>
  <c r="D296" i="9"/>
  <c r="S296" i="9" s="1"/>
  <c r="Q296" i="9" s="1"/>
  <c r="D316" i="9"/>
  <c r="S316" i="9" s="1"/>
  <c r="Q316" i="9" s="1"/>
  <c r="D221" i="9"/>
  <c r="S221" i="9" s="1"/>
  <c r="Q221" i="9" s="1"/>
  <c r="D334" i="9"/>
  <c r="S334" i="9" s="1"/>
  <c r="Q334" i="9" s="1"/>
  <c r="D211" i="9"/>
  <c r="D268" i="9"/>
  <c r="S268" i="9" s="1"/>
  <c r="Q268" i="9" s="1"/>
  <c r="D288" i="9"/>
  <c r="S288" i="9" s="1"/>
  <c r="Q288" i="9" s="1"/>
  <c r="D260" i="9"/>
  <c r="D276" i="9"/>
  <c r="S276" i="9" s="1"/>
  <c r="Q276" i="9" s="1"/>
  <c r="D374" i="9"/>
  <c r="S374" i="9" s="1"/>
  <c r="Q374" i="9" s="1"/>
  <c r="D325" i="9"/>
  <c r="S325" i="9" s="1"/>
  <c r="Q325" i="9" s="1"/>
  <c r="D201" i="9"/>
  <c r="D343" i="9"/>
  <c r="S343" i="9" s="1"/>
  <c r="Q343" i="9" s="1"/>
  <c r="D575" i="9"/>
  <c r="D594" i="9"/>
  <c r="D538" i="9"/>
  <c r="D635" i="9"/>
  <c r="D636" i="9" s="1"/>
  <c r="D637" i="9" s="1"/>
  <c r="D638" i="9" s="1"/>
  <c r="D639" i="9" s="1"/>
  <c r="D640" i="9" s="1"/>
  <c r="D641" i="9" s="1"/>
  <c r="D642" i="9" s="1"/>
  <c r="D643" i="9" s="1"/>
  <c r="D644" i="9" s="1"/>
  <c r="D645" i="9" s="1"/>
  <c r="D646" i="9" s="1"/>
  <c r="D647" i="9" s="1"/>
  <c r="D648" i="9" s="1"/>
  <c r="D649" i="9" s="1"/>
  <c r="D650" i="9" s="1"/>
  <c r="D651" i="9" s="1"/>
  <c r="D559" i="9"/>
  <c r="S559" i="9" s="1"/>
  <c r="D682" i="9"/>
  <c r="D708" i="9"/>
  <c r="D92" i="9"/>
  <c r="H178" i="4"/>
  <c r="H46" i="4"/>
  <c r="H89" i="4"/>
  <c r="H90" i="4"/>
  <c r="H88" i="4"/>
  <c r="H156" i="4"/>
  <c r="H134" i="4"/>
  <c r="AA49" i="4" l="1"/>
  <c r="AA47" i="4"/>
  <c r="AA50" i="4"/>
  <c r="V46" i="4"/>
  <c r="Z46" i="4" s="1"/>
  <c r="U46" i="4"/>
  <c r="Y46" i="4" s="1"/>
  <c r="T46" i="4"/>
  <c r="X46" i="4" s="1"/>
  <c r="AA45" i="4"/>
  <c r="V88" i="4"/>
  <c r="Z88" i="4" s="1"/>
  <c r="U88" i="4"/>
  <c r="Y88" i="4" s="1"/>
  <c r="T88" i="4"/>
  <c r="X88" i="4" s="1"/>
  <c r="V90" i="4"/>
  <c r="Z90" i="4" s="1"/>
  <c r="U90" i="4"/>
  <c r="Y90" i="4" s="1"/>
  <c r="T90" i="4"/>
  <c r="X90" i="4" s="1"/>
  <c r="V89" i="4"/>
  <c r="Z89" i="4" s="1"/>
  <c r="U89" i="4"/>
  <c r="Y89" i="4" s="1"/>
  <c r="T89" i="4"/>
  <c r="X89" i="4" s="1"/>
  <c r="AA181" i="4"/>
  <c r="AA183" i="4"/>
  <c r="T178" i="4"/>
  <c r="X178" i="4" s="1"/>
  <c r="V178" i="4"/>
  <c r="Z178" i="4" s="1"/>
  <c r="U178" i="4"/>
  <c r="Y178" i="4" s="1"/>
  <c r="AA182" i="4"/>
  <c r="AA179" i="4"/>
  <c r="AA180" i="4"/>
  <c r="V156" i="4"/>
  <c r="Z156" i="4" s="1"/>
  <c r="U156" i="4"/>
  <c r="Y156" i="4" s="1"/>
  <c r="T156" i="4"/>
  <c r="X156" i="4" s="1"/>
  <c r="U134" i="4"/>
  <c r="Y134" i="4" s="1"/>
  <c r="V134" i="4"/>
  <c r="Z134" i="4" s="1"/>
  <c r="T134" i="4"/>
  <c r="X134" i="4" s="1"/>
  <c r="D179" i="9"/>
  <c r="S178" i="9"/>
  <c r="Q178" i="9" s="1"/>
  <c r="D539" i="9"/>
  <c r="S538" i="9"/>
  <c r="P538" i="9" s="1"/>
  <c r="S260" i="9"/>
  <c r="Q260" i="9" s="1"/>
  <c r="S211" i="9"/>
  <c r="Q211" i="9" s="1"/>
  <c r="S201" i="9"/>
  <c r="Q201" i="9" s="1"/>
  <c r="I88" i="4"/>
  <c r="I90" i="4"/>
  <c r="I89" i="4"/>
  <c r="M134" i="4"/>
  <c r="I46" i="4"/>
  <c r="I178" i="4"/>
  <c r="M176" i="4"/>
  <c r="F185" i="4" s="1"/>
  <c r="M64" i="4"/>
  <c r="M65" i="4"/>
  <c r="I156" i="4"/>
  <c r="I134" i="4"/>
  <c r="D595" i="9"/>
  <c r="S594" i="9"/>
  <c r="G624" i="9"/>
  <c r="U623" i="9"/>
  <c r="R623" i="9"/>
  <c r="D576" i="9"/>
  <c r="S575" i="9"/>
  <c r="P575" i="9" s="1"/>
  <c r="D479" i="9"/>
  <c r="S478" i="9"/>
  <c r="P478" i="9" s="1"/>
  <c r="D709" i="9"/>
  <c r="S708" i="9"/>
  <c r="D683" i="9"/>
  <c r="S682" i="9"/>
  <c r="D727" i="9"/>
  <c r="S726" i="9"/>
  <c r="D560" i="9"/>
  <c r="S560" i="9" s="1"/>
  <c r="D195" i="9"/>
  <c r="D142" i="9"/>
  <c r="D128" i="9"/>
  <c r="D104" i="9"/>
  <c r="S104" i="9" s="1"/>
  <c r="Q104" i="9" s="1"/>
  <c r="D119" i="9"/>
  <c r="D164" i="9"/>
  <c r="D344" i="9"/>
  <c r="S344" i="9" s="1"/>
  <c r="Q344" i="9" s="1"/>
  <c r="D277" i="9"/>
  <c r="S277" i="9" s="1"/>
  <c r="Q277" i="9" s="1"/>
  <c r="D289" i="9"/>
  <c r="S289" i="9" s="1"/>
  <c r="Q289" i="9" s="1"/>
  <c r="D202" i="9"/>
  <c r="D375" i="9"/>
  <c r="S375" i="9" s="1"/>
  <c r="Q375" i="9" s="1"/>
  <c r="D261" i="9"/>
  <c r="D269" i="9"/>
  <c r="S269" i="9" s="1"/>
  <c r="Q269" i="9" s="1"/>
  <c r="D335" i="9"/>
  <c r="S335" i="9" s="1"/>
  <c r="Q335" i="9" s="1"/>
  <c r="D317" i="9"/>
  <c r="S317" i="9" s="1"/>
  <c r="Q317" i="9" s="1"/>
  <c r="D305" i="9"/>
  <c r="S305" i="9" s="1"/>
  <c r="Q305" i="9" s="1"/>
  <c r="D439" i="9"/>
  <c r="S439" i="9" s="1"/>
  <c r="Q439" i="9" s="1"/>
  <c r="D326" i="9"/>
  <c r="S326" i="9" s="1"/>
  <c r="Q326" i="9" s="1"/>
  <c r="D212" i="9"/>
  <c r="D222" i="9"/>
  <c r="S222" i="9" s="1"/>
  <c r="Q222" i="9" s="1"/>
  <c r="D297" i="9"/>
  <c r="S297" i="9" s="1"/>
  <c r="Q297" i="9" s="1"/>
  <c r="D232" i="9"/>
  <c r="S232" i="9" s="1"/>
  <c r="Q232" i="9" s="1"/>
  <c r="D251" i="9"/>
  <c r="D242" i="9"/>
  <c r="D93" i="9"/>
  <c r="AA90" i="4" l="1"/>
  <c r="AA46" i="4"/>
  <c r="AA88" i="4"/>
  <c r="AA89" i="4"/>
  <c r="AA178" i="4"/>
  <c r="AA156" i="4"/>
  <c r="AA134" i="4"/>
  <c r="D180" i="9"/>
  <c r="S179" i="9"/>
  <c r="Q179" i="9" s="1"/>
  <c r="D540" i="9"/>
  <c r="S539" i="9"/>
  <c r="P539" i="9" s="1"/>
  <c r="S261" i="9"/>
  <c r="Q261" i="9" s="1"/>
  <c r="S202" i="9"/>
  <c r="Q202" i="9" s="1"/>
  <c r="S212" i="9"/>
  <c r="Q212" i="9" s="1"/>
  <c r="M151" i="4"/>
  <c r="F141" i="4"/>
  <c r="B143" i="4"/>
  <c r="B144" i="4"/>
  <c r="B142" i="4"/>
  <c r="K142" i="4"/>
  <c r="K141" i="4"/>
  <c r="H144" i="4"/>
  <c r="H142" i="4"/>
  <c r="H143" i="4"/>
  <c r="F75" i="4"/>
  <c r="AN142" i="4"/>
  <c r="H186" i="4"/>
  <c r="H187" i="4"/>
  <c r="B188" i="4"/>
  <c r="AN186" i="4"/>
  <c r="H188" i="4"/>
  <c r="AN188" i="4"/>
  <c r="B186" i="4"/>
  <c r="B187" i="4"/>
  <c r="K185" i="4"/>
  <c r="AN187" i="4"/>
  <c r="K186" i="4"/>
  <c r="AN77" i="4"/>
  <c r="AN78" i="4"/>
  <c r="K76" i="4"/>
  <c r="B78" i="4"/>
  <c r="H76" i="4"/>
  <c r="H78" i="4"/>
  <c r="K75" i="4"/>
  <c r="AN76" i="4"/>
  <c r="I77" i="4"/>
  <c r="AK78" i="4" s="1"/>
  <c r="B76" i="4"/>
  <c r="H77" i="4"/>
  <c r="K78" i="4"/>
  <c r="B77" i="4"/>
  <c r="AH13" i="4"/>
  <c r="M154" i="4"/>
  <c r="AH8" i="4"/>
  <c r="D684" i="9"/>
  <c r="S683" i="9"/>
  <c r="D480" i="9"/>
  <c r="S479" i="9"/>
  <c r="P479" i="9" s="1"/>
  <c r="D577" i="9"/>
  <c r="S576" i="9"/>
  <c r="P576" i="9" s="1"/>
  <c r="D596" i="9"/>
  <c r="S595" i="9"/>
  <c r="D728" i="9"/>
  <c r="S727" i="9"/>
  <c r="D710" i="9"/>
  <c r="S709" i="9"/>
  <c r="G625" i="9"/>
  <c r="R624" i="9"/>
  <c r="U624" i="9"/>
  <c r="D561" i="9"/>
  <c r="S561" i="9" s="1"/>
  <c r="D196" i="9"/>
  <c r="D120" i="9"/>
  <c r="D129" i="9"/>
  <c r="D165" i="9"/>
  <c r="D105" i="9"/>
  <c r="S105" i="9" s="1"/>
  <c r="Q105" i="9" s="1"/>
  <c r="D143" i="9"/>
  <c r="D243" i="9"/>
  <c r="D233" i="9"/>
  <c r="S233" i="9" s="1"/>
  <c r="Q233" i="9" s="1"/>
  <c r="D223" i="9"/>
  <c r="S223" i="9" s="1"/>
  <c r="Q223" i="9" s="1"/>
  <c r="D327" i="9"/>
  <c r="S327" i="9" s="1"/>
  <c r="Q327" i="9" s="1"/>
  <c r="D306" i="9"/>
  <c r="S306" i="9" s="1"/>
  <c r="Q306" i="9" s="1"/>
  <c r="D318" i="9"/>
  <c r="S318" i="9" s="1"/>
  <c r="Q318" i="9" s="1"/>
  <c r="D270" i="9"/>
  <c r="S270" i="9" s="1"/>
  <c r="Q270" i="9" s="1"/>
  <c r="D376" i="9"/>
  <c r="S376" i="9" s="1"/>
  <c r="Q376" i="9" s="1"/>
  <c r="D290" i="9"/>
  <c r="S290" i="9" s="1"/>
  <c r="Q290" i="9" s="1"/>
  <c r="D345" i="9"/>
  <c r="S345" i="9" s="1"/>
  <c r="Q345" i="9" s="1"/>
  <c r="D252" i="9"/>
  <c r="D298" i="9"/>
  <c r="S298" i="9" s="1"/>
  <c r="Q298" i="9" s="1"/>
  <c r="D213" i="9"/>
  <c r="D440" i="9"/>
  <c r="S440" i="9" s="1"/>
  <c r="Q440" i="9" s="1"/>
  <c r="D336" i="9"/>
  <c r="S336" i="9" s="1"/>
  <c r="Q336" i="9" s="1"/>
  <c r="D262" i="9"/>
  <c r="D203" i="9"/>
  <c r="D278" i="9"/>
  <c r="S278" i="9" s="1"/>
  <c r="Q278" i="9" s="1"/>
  <c r="D94" i="9"/>
  <c r="AG50" i="4"/>
  <c r="AH111" i="4"/>
  <c r="AG203" i="4"/>
  <c r="AG49" i="4"/>
  <c r="AG111" i="4"/>
  <c r="AH87" i="4"/>
  <c r="AG42" i="4"/>
  <c r="AG161" i="4"/>
  <c r="AG62" i="4"/>
  <c r="AG247" i="4"/>
  <c r="AG85" i="4"/>
  <c r="AH108" i="4"/>
  <c r="AG115" i="4"/>
  <c r="AG108" i="4"/>
  <c r="AG194" i="4"/>
  <c r="AG155" i="4"/>
  <c r="AG152" i="4"/>
  <c r="AH247" i="4"/>
  <c r="AG138" i="4"/>
  <c r="AG43" i="4"/>
  <c r="AG135" i="4"/>
  <c r="AH172" i="4"/>
  <c r="AG204" i="4"/>
  <c r="AG238" i="4"/>
  <c r="AH95" i="4"/>
  <c r="AH117" i="4"/>
  <c r="AH89" i="4"/>
  <c r="AH62" i="4"/>
  <c r="AH219" i="4"/>
  <c r="AH112" i="4"/>
  <c r="AG128" i="4"/>
  <c r="AG67" i="4"/>
  <c r="AG195" i="4"/>
  <c r="AH202" i="4"/>
  <c r="AG227" i="4"/>
  <c r="AG242" i="4"/>
  <c r="AH194" i="4"/>
  <c r="AG90" i="4"/>
  <c r="AH175" i="4"/>
  <c r="AG244" i="4"/>
  <c r="AH47" i="4"/>
  <c r="AG68" i="4"/>
  <c r="AH242" i="4"/>
  <c r="AH249" i="4"/>
  <c r="AH179" i="4"/>
  <c r="AH110" i="4"/>
  <c r="AG106" i="4"/>
  <c r="AG46" i="4"/>
  <c r="AH93" i="4"/>
  <c r="AG113" i="4"/>
  <c r="AG224" i="4"/>
  <c r="AG245" i="4"/>
  <c r="AH67" i="4"/>
  <c r="AG131" i="4"/>
  <c r="AH131" i="4"/>
  <c r="AH183" i="4"/>
  <c r="AG223" i="4"/>
  <c r="AG158" i="4"/>
  <c r="AG157" i="4"/>
  <c r="AH243" i="4"/>
  <c r="AH84" i="4"/>
  <c r="AH221" i="4"/>
  <c r="AH139" i="4"/>
  <c r="AG93" i="4"/>
  <c r="AH157" i="4"/>
  <c r="AG239" i="4"/>
  <c r="AH129" i="4"/>
  <c r="AH137" i="4"/>
  <c r="AH40" i="4"/>
  <c r="AG153" i="4"/>
  <c r="AH226" i="4"/>
  <c r="AG110" i="4"/>
  <c r="AH197" i="4"/>
  <c r="AG216" i="4"/>
  <c r="AH216" i="4"/>
  <c r="AH156" i="4"/>
  <c r="AG69" i="4"/>
  <c r="AG156" i="4"/>
  <c r="AG217" i="4"/>
  <c r="AH42" i="4"/>
  <c r="AH248" i="4"/>
  <c r="AH150" i="4"/>
  <c r="AH223" i="4"/>
  <c r="AG220" i="4"/>
  <c r="AH51" i="4"/>
  <c r="AH160" i="4"/>
  <c r="AH69" i="4"/>
  <c r="AG70" i="4"/>
  <c r="AG200" i="4"/>
  <c r="AG91" i="4"/>
  <c r="AG159" i="4"/>
  <c r="AG95" i="4"/>
  <c r="AG117" i="4"/>
  <c r="AG173" i="4"/>
  <c r="AH50" i="4"/>
  <c r="AH41" i="4"/>
  <c r="AG134" i="4"/>
  <c r="AH64" i="4"/>
  <c r="AG66" i="4"/>
  <c r="AH138" i="4"/>
  <c r="AH151" i="4"/>
  <c r="AG182" i="4"/>
  <c r="AH68" i="4"/>
  <c r="AH180" i="4"/>
  <c r="AG226" i="4"/>
  <c r="AG112" i="4"/>
  <c r="AG94" i="4"/>
  <c r="AG139" i="4"/>
  <c r="AH128" i="4"/>
  <c r="AH46" i="4"/>
  <c r="AH155" i="4"/>
  <c r="AH113" i="4"/>
  <c r="AH134" i="4"/>
  <c r="AG133" i="4"/>
  <c r="AH107" i="4"/>
  <c r="AH90" i="4"/>
  <c r="AH240" i="4"/>
  <c r="AH109" i="4"/>
  <c r="AH72" i="4"/>
  <c r="AH86" i="4"/>
  <c r="AG178" i="4"/>
  <c r="AH220" i="4"/>
  <c r="AH198" i="4"/>
  <c r="AH49" i="4"/>
  <c r="AH222" i="4"/>
  <c r="AH132" i="4"/>
  <c r="AH43" i="4"/>
  <c r="AG89" i="4"/>
  <c r="AG64" i="4"/>
  <c r="AH130" i="4"/>
  <c r="AG180" i="4"/>
  <c r="AG51" i="4"/>
  <c r="AG92" i="4"/>
  <c r="AH44" i="4"/>
  <c r="AG137" i="4"/>
  <c r="AG248" i="4"/>
  <c r="AH94" i="4"/>
  <c r="AH224" i="4"/>
  <c r="AH244" i="4"/>
  <c r="AH195" i="4"/>
  <c r="AG222" i="4"/>
  <c r="AG116" i="4"/>
  <c r="AH174" i="4"/>
  <c r="AG48" i="4"/>
  <c r="AG179" i="4"/>
  <c r="AH159" i="4"/>
  <c r="AG198" i="4"/>
  <c r="AG41" i="4"/>
  <c r="AG181" i="4"/>
  <c r="AH225" i="4"/>
  <c r="AG47" i="4"/>
  <c r="AG73" i="4"/>
  <c r="AG44" i="4"/>
  <c r="AG65" i="4"/>
  <c r="AH201" i="4"/>
  <c r="AH176" i="4"/>
  <c r="AH246" i="4"/>
  <c r="AH70" i="4"/>
  <c r="AG87" i="4"/>
  <c r="AH153" i="4"/>
  <c r="AH66" i="4"/>
  <c r="AG71" i="4"/>
  <c r="AH178" i="4"/>
  <c r="AH158" i="4"/>
  <c r="AG174" i="4"/>
  <c r="AH203" i="4"/>
  <c r="AH114" i="4"/>
  <c r="AG199" i="4"/>
  <c r="AH45" i="4"/>
  <c r="AH161" i="4"/>
  <c r="AH48" i="4"/>
  <c r="AG150" i="4"/>
  <c r="AG129" i="4"/>
  <c r="AG107" i="4"/>
  <c r="AG45" i="4"/>
  <c r="AG225" i="4"/>
  <c r="AG197" i="4"/>
  <c r="AH218" i="4"/>
  <c r="AH115" i="4"/>
  <c r="AH182" i="4"/>
  <c r="AG176" i="4"/>
  <c r="AG243" i="4"/>
  <c r="AH135" i="4"/>
  <c r="AH177" i="4"/>
  <c r="AH199" i="4"/>
  <c r="AH241" i="4"/>
  <c r="AH116" i="4"/>
  <c r="AH173" i="4"/>
  <c r="AG175" i="4"/>
  <c r="AG72" i="4"/>
  <c r="AH217" i="4"/>
  <c r="AG202" i="4"/>
  <c r="AG249" i="4"/>
  <c r="AH245" i="4"/>
  <c r="AH152" i="4"/>
  <c r="AH106" i="4"/>
  <c r="AH136" i="4"/>
  <c r="AH181" i="4"/>
  <c r="AG205" i="4"/>
  <c r="AH154" i="4"/>
  <c r="AG136" i="4"/>
  <c r="AG88" i="4"/>
  <c r="AG160" i="4"/>
  <c r="AH204" i="4"/>
  <c r="AH73" i="4"/>
  <c r="AG218" i="4"/>
  <c r="AG86" i="4"/>
  <c r="AG154" i="4"/>
  <c r="AH91" i="4"/>
  <c r="AH85" i="4"/>
  <c r="AH227" i="4"/>
  <c r="AG241" i="4"/>
  <c r="AH239" i="4"/>
  <c r="AG151" i="4"/>
  <c r="AH205" i="4"/>
  <c r="AG177" i="4"/>
  <c r="AG84" i="4"/>
  <c r="AG201" i="4"/>
  <c r="AH133" i="4"/>
  <c r="AH65" i="4"/>
  <c r="AG40" i="4"/>
  <c r="AH63" i="4"/>
  <c r="AG183" i="4"/>
  <c r="AG221" i="4"/>
  <c r="AG172" i="4"/>
  <c r="AH92" i="4"/>
  <c r="AH238" i="4"/>
  <c r="AH200" i="4"/>
  <c r="AG114" i="4"/>
  <c r="AG219" i="4"/>
  <c r="AG246" i="4"/>
  <c r="AH196" i="4"/>
  <c r="AG240" i="4"/>
  <c r="AG109" i="4"/>
  <c r="AG130" i="4"/>
  <c r="AH71" i="4"/>
  <c r="AG196" i="4"/>
  <c r="D181" i="9" l="1"/>
  <c r="S180" i="9"/>
  <c r="Q180" i="9" s="1"/>
  <c r="D541" i="9"/>
  <c r="S540" i="9"/>
  <c r="P540" i="9" s="1"/>
  <c r="S262" i="9"/>
  <c r="Q262" i="9" s="1"/>
  <c r="S213" i="9"/>
  <c r="Q213" i="9" s="1"/>
  <c r="S203" i="9"/>
  <c r="Q203" i="9" s="1"/>
  <c r="F163" i="4"/>
  <c r="AN143" i="4"/>
  <c r="AN144" i="4" s="1"/>
  <c r="AN165" i="4"/>
  <c r="AN164" i="4"/>
  <c r="H165" i="4"/>
  <c r="B165" i="4"/>
  <c r="B164" i="4"/>
  <c r="H164" i="4"/>
  <c r="B166" i="4"/>
  <c r="K164" i="4"/>
  <c r="K163" i="4"/>
  <c r="H166" i="4"/>
  <c r="AH12" i="4"/>
  <c r="D729" i="9"/>
  <c r="S728" i="9"/>
  <c r="D578" i="9"/>
  <c r="S577" i="9"/>
  <c r="P577" i="9" s="1"/>
  <c r="D685" i="9"/>
  <c r="S684" i="9"/>
  <c r="P684" i="9" s="1"/>
  <c r="G626" i="9"/>
  <c r="U625" i="9"/>
  <c r="R625" i="9"/>
  <c r="D711" i="9"/>
  <c r="S710" i="9"/>
  <c r="D597" i="9"/>
  <c r="S596" i="9"/>
  <c r="D481" i="9"/>
  <c r="S480" i="9"/>
  <c r="P480" i="9" s="1"/>
  <c r="D562" i="9"/>
  <c r="S562" i="9" s="1"/>
  <c r="D106" i="9"/>
  <c r="S106" i="9" s="1"/>
  <c r="Q106" i="9" s="1"/>
  <c r="D130" i="9"/>
  <c r="D144" i="9"/>
  <c r="D166" i="9"/>
  <c r="D121" i="9"/>
  <c r="D204" i="9"/>
  <c r="D337" i="9"/>
  <c r="S337" i="9" s="1"/>
  <c r="Q337" i="9" s="1"/>
  <c r="D214" i="9"/>
  <c r="D253" i="9"/>
  <c r="D291" i="9"/>
  <c r="S291" i="9" s="1"/>
  <c r="Q291" i="9" s="1"/>
  <c r="D271" i="9"/>
  <c r="S271" i="9" s="1"/>
  <c r="Q271" i="9" s="1"/>
  <c r="D307" i="9"/>
  <c r="S307" i="9" s="1"/>
  <c r="Q307" i="9" s="1"/>
  <c r="D224" i="9"/>
  <c r="S224" i="9" s="1"/>
  <c r="Q224" i="9" s="1"/>
  <c r="D279" i="9"/>
  <c r="S279" i="9" s="1"/>
  <c r="Q279" i="9" s="1"/>
  <c r="D263" i="9"/>
  <c r="D441" i="9"/>
  <c r="S441" i="9" s="1"/>
  <c r="Q441" i="9" s="1"/>
  <c r="D299" i="9"/>
  <c r="S299" i="9" s="1"/>
  <c r="Q299" i="9" s="1"/>
  <c r="D346" i="9"/>
  <c r="S346" i="9" s="1"/>
  <c r="Q346" i="9" s="1"/>
  <c r="D377" i="9"/>
  <c r="S377" i="9" s="1"/>
  <c r="Q377" i="9" s="1"/>
  <c r="D319" i="9"/>
  <c r="S319" i="9" s="1"/>
  <c r="Q319" i="9" s="1"/>
  <c r="D328" i="9"/>
  <c r="S328" i="9" s="1"/>
  <c r="Q328" i="9" s="1"/>
  <c r="D234" i="9"/>
  <c r="S234" i="9" s="1"/>
  <c r="Q234" i="9" s="1"/>
  <c r="D95" i="9"/>
  <c r="H68" i="4"/>
  <c r="H243" i="4"/>
  <c r="H239" i="4"/>
  <c r="H240" i="4"/>
  <c r="H242" i="4"/>
  <c r="H241" i="4"/>
  <c r="H238" i="4"/>
  <c r="H217" i="4"/>
  <c r="H221" i="4"/>
  <c r="H219" i="4"/>
  <c r="H220" i="4"/>
  <c r="H218" i="4"/>
  <c r="H216" i="4"/>
  <c r="H198" i="4"/>
  <c r="H194" i="4"/>
  <c r="H197" i="4"/>
  <c r="H199" i="4"/>
  <c r="H196" i="4"/>
  <c r="H195" i="4"/>
  <c r="H173" i="4"/>
  <c r="H150" i="4"/>
  <c r="H177" i="4"/>
  <c r="H174" i="4"/>
  <c r="H172" i="4"/>
  <c r="H152" i="4"/>
  <c r="H175" i="4"/>
  <c r="H154" i="4"/>
  <c r="H155" i="4"/>
  <c r="H176" i="4"/>
  <c r="H151" i="4"/>
  <c r="H153" i="4"/>
  <c r="AK5" i="4" a="1"/>
  <c r="AI178" i="4"/>
  <c r="AI217" i="4"/>
  <c r="AI89" i="4"/>
  <c r="AI70" i="4"/>
  <c r="AI244" i="4"/>
  <c r="AI199" i="4"/>
  <c r="AI66" i="4"/>
  <c r="H109" i="4"/>
  <c r="H131" i="4"/>
  <c r="AI183" i="4"/>
  <c r="AI246" i="4"/>
  <c r="AI111" i="4"/>
  <c r="AI157" i="4"/>
  <c r="AI216" i="4"/>
  <c r="H110" i="4"/>
  <c r="AI87" i="4"/>
  <c r="AI93" i="4"/>
  <c r="AI226" i="4"/>
  <c r="H108" i="4"/>
  <c r="AI113" i="4"/>
  <c r="AI238" i="4"/>
  <c r="AI109" i="4"/>
  <c r="AI245" i="4"/>
  <c r="AI110" i="4"/>
  <c r="AI182" i="4"/>
  <c r="H107" i="4"/>
  <c r="AI92" i="4"/>
  <c r="AI201" i="4"/>
  <c r="H111" i="4"/>
  <c r="AI154" i="4"/>
  <c r="AI197" i="4"/>
  <c r="AI69" i="4"/>
  <c r="AI43" i="4"/>
  <c r="H41" i="4"/>
  <c r="AI159" i="4"/>
  <c r="H128" i="4"/>
  <c r="AI156" i="4"/>
  <c r="AI248" i="4"/>
  <c r="H106" i="4"/>
  <c r="AI195" i="4"/>
  <c r="AI222" i="4"/>
  <c r="AI150" i="4"/>
  <c r="AI239" i="4"/>
  <c r="AI72" i="4"/>
  <c r="AI135" i="4"/>
  <c r="AI194" i="4"/>
  <c r="AI68" i="4"/>
  <c r="H84" i="4"/>
  <c r="AI117" i="4"/>
  <c r="AI161" i="4"/>
  <c r="AI51" i="4"/>
  <c r="AI221" i="4"/>
  <c r="AI227" i="4"/>
  <c r="AI241" i="4"/>
  <c r="AI73" i="4"/>
  <c r="AI128" i="4"/>
  <c r="AI90" i="4"/>
  <c r="AI63" i="4"/>
  <c r="AI205" i="4"/>
  <c r="AI88" i="4"/>
  <c r="AI94" i="4"/>
  <c r="AI224" i="4"/>
  <c r="AI108" i="4"/>
  <c r="AI47" i="4"/>
  <c r="H44" i="4"/>
  <c r="AI107" i="4"/>
  <c r="AI247" i="4"/>
  <c r="H40" i="4"/>
  <c r="AI198" i="4"/>
  <c r="AI49" i="4"/>
  <c r="AI129" i="4"/>
  <c r="AI41" i="4"/>
  <c r="AI218" i="4"/>
  <c r="AI242" i="4"/>
  <c r="AI95" i="4"/>
  <c r="AI62" i="4"/>
  <c r="AI179" i="4"/>
  <c r="AI177" i="4"/>
  <c r="AI174" i="4"/>
  <c r="AI136" i="4"/>
  <c r="AI46" i="4"/>
  <c r="AI139" i="4"/>
  <c r="AI175" i="4"/>
  <c r="H133" i="4"/>
  <c r="H130" i="4"/>
  <c r="AI249" i="4"/>
  <c r="AI50" i="4"/>
  <c r="AI40" i="4"/>
  <c r="AI173" i="4"/>
  <c r="AI219" i="4"/>
  <c r="AI84" i="4"/>
  <c r="AI181" i="4"/>
  <c r="H87" i="4"/>
  <c r="H63" i="4"/>
  <c r="AI203" i="4"/>
  <c r="AI200" i="4"/>
  <c r="AI44" i="4"/>
  <c r="AI160" i="4"/>
  <c r="AI153" i="4"/>
  <c r="AH88" i="4"/>
  <c r="AI158" i="4"/>
  <c r="AI138" i="4"/>
  <c r="AI48" i="4"/>
  <c r="AI91" i="4"/>
  <c r="AI180" i="4"/>
  <c r="H43" i="4"/>
  <c r="AG132" i="4"/>
  <c r="AI202" i="4"/>
  <c r="H65" i="4"/>
  <c r="AI130" i="4"/>
  <c r="AI176" i="4"/>
  <c r="AI114" i="4"/>
  <c r="AI71" i="4"/>
  <c r="H129" i="4"/>
  <c r="AI116" i="4"/>
  <c r="AI152" i="4"/>
  <c r="AI225" i="4"/>
  <c r="AI115" i="4"/>
  <c r="AI155" i="4"/>
  <c r="AI137" i="4"/>
  <c r="AI204" i="4"/>
  <c r="AI172" i="4"/>
  <c r="AI196" i="4"/>
  <c r="AI133" i="4"/>
  <c r="AI223" i="4"/>
  <c r="AI131" i="4"/>
  <c r="H62" i="4"/>
  <c r="AI134" i="4"/>
  <c r="AI45" i="4"/>
  <c r="AI243" i="4"/>
  <c r="AI151" i="4"/>
  <c r="AI240" i="4"/>
  <c r="AI65" i="4"/>
  <c r="I44" i="4" l="1"/>
  <c r="T44" i="4"/>
  <c r="X44" i="4" s="1"/>
  <c r="T43" i="4"/>
  <c r="X43" i="4" s="1"/>
  <c r="T40" i="4"/>
  <c r="V40" i="4" s="1"/>
  <c r="T41" i="4"/>
  <c r="X41" i="4" s="1"/>
  <c r="T65" i="4"/>
  <c r="X65" i="4" s="1"/>
  <c r="T62" i="4"/>
  <c r="U62" i="4" s="1"/>
  <c r="T63" i="4"/>
  <c r="X63" i="4" s="1"/>
  <c r="T68" i="4"/>
  <c r="X68" i="4" s="1"/>
  <c r="V68" i="4"/>
  <c r="Z68" i="4" s="1"/>
  <c r="U68" i="4"/>
  <c r="Y68" i="4" s="1"/>
  <c r="T84" i="4"/>
  <c r="T87" i="4"/>
  <c r="X87" i="4" s="1"/>
  <c r="T238" i="4"/>
  <c r="V238" i="4" s="1"/>
  <c r="T241" i="4"/>
  <c r="X241" i="4" s="1"/>
  <c r="T242" i="4"/>
  <c r="X242" i="4" s="1"/>
  <c r="T240" i="4"/>
  <c r="X240" i="4" s="1"/>
  <c r="U240" i="4"/>
  <c r="Y240" i="4" s="1"/>
  <c r="T239" i="4"/>
  <c r="X239" i="4" s="1"/>
  <c r="T243" i="4"/>
  <c r="X243" i="4" s="1"/>
  <c r="T216" i="4"/>
  <c r="U218" i="4"/>
  <c r="Y218" i="4" s="1"/>
  <c r="T218" i="4"/>
  <c r="X218" i="4" s="1"/>
  <c r="T220" i="4"/>
  <c r="X220" i="4" s="1"/>
  <c r="V219" i="4"/>
  <c r="Z219" i="4" s="1"/>
  <c r="T219" i="4"/>
  <c r="X219" i="4" s="1"/>
  <c r="T221" i="4"/>
  <c r="X221" i="4" s="1"/>
  <c r="T217" i="4"/>
  <c r="X217" i="4" s="1"/>
  <c r="U195" i="4"/>
  <c r="Y195" i="4" s="1"/>
  <c r="T195" i="4"/>
  <c r="X195" i="4" s="1"/>
  <c r="T196" i="4"/>
  <c r="X196" i="4" s="1"/>
  <c r="T199" i="4"/>
  <c r="X199" i="4" s="1"/>
  <c r="T197" i="4"/>
  <c r="X197" i="4" s="1"/>
  <c r="T194" i="4"/>
  <c r="V194" i="4" s="1"/>
  <c r="T198" i="4"/>
  <c r="X198" i="4" s="1"/>
  <c r="T176" i="4"/>
  <c r="X176" i="4" s="1"/>
  <c r="V176" i="4"/>
  <c r="Z176" i="4" s="1"/>
  <c r="T175" i="4"/>
  <c r="X175" i="4" s="1"/>
  <c r="T172" i="4"/>
  <c r="V172" i="4" s="1"/>
  <c r="T174" i="4"/>
  <c r="X174" i="4" s="1"/>
  <c r="T177" i="4"/>
  <c r="X177" i="4" s="1"/>
  <c r="T173" i="4"/>
  <c r="X173" i="4" s="1"/>
  <c r="T153" i="4"/>
  <c r="X153" i="4" s="1"/>
  <c r="T151" i="4"/>
  <c r="X151" i="4" s="1"/>
  <c r="T155" i="4"/>
  <c r="X155" i="4" s="1"/>
  <c r="T154" i="4"/>
  <c r="X154" i="4" s="1"/>
  <c r="T152" i="4"/>
  <c r="X152" i="4" s="1"/>
  <c r="T150" i="4"/>
  <c r="V150" i="4" s="1"/>
  <c r="T107" i="4"/>
  <c r="T131" i="4"/>
  <c r="X131" i="4" s="1"/>
  <c r="T128" i="4"/>
  <c r="U128" i="4" s="1"/>
  <c r="T129" i="4"/>
  <c r="X129" i="4" s="1"/>
  <c r="T130" i="4"/>
  <c r="X130" i="4" s="1"/>
  <c r="T133" i="4"/>
  <c r="X133" i="4" s="1"/>
  <c r="I238" i="4"/>
  <c r="I241" i="4"/>
  <c r="I242" i="4"/>
  <c r="I240" i="4"/>
  <c r="I239" i="4"/>
  <c r="I243" i="4"/>
  <c r="I216" i="4"/>
  <c r="I218" i="4"/>
  <c r="I220" i="4"/>
  <c r="I219" i="4"/>
  <c r="I221" i="4"/>
  <c r="I217" i="4"/>
  <c r="I195" i="4"/>
  <c r="I196" i="4"/>
  <c r="I199" i="4"/>
  <c r="I197" i="4"/>
  <c r="I194" i="4"/>
  <c r="I198" i="4"/>
  <c r="S181" i="9"/>
  <c r="Q181" i="9" s="1"/>
  <c r="D182" i="9"/>
  <c r="T108" i="4"/>
  <c r="U108" i="4" s="1"/>
  <c r="Y108" i="4" s="1"/>
  <c r="T109" i="4"/>
  <c r="X109" i="4" s="1"/>
  <c r="U107" i="4"/>
  <c r="Y107" i="4" s="1"/>
  <c r="T110" i="4"/>
  <c r="V110" i="4" s="1"/>
  <c r="Z110" i="4" s="1"/>
  <c r="T111" i="4"/>
  <c r="X111" i="4" s="1"/>
  <c r="T106" i="4"/>
  <c r="I175" i="4"/>
  <c r="I176" i="4"/>
  <c r="I177" i="4"/>
  <c r="I172" i="4"/>
  <c r="I174" i="4"/>
  <c r="I173" i="4"/>
  <c r="I152" i="4"/>
  <c r="I155" i="4"/>
  <c r="I154" i="4"/>
  <c r="I150" i="4"/>
  <c r="I151" i="4"/>
  <c r="I153" i="4"/>
  <c r="D542" i="9"/>
  <c r="S541" i="9"/>
  <c r="P541" i="9" s="1"/>
  <c r="S263" i="9"/>
  <c r="Q263" i="9" s="1"/>
  <c r="S204" i="9"/>
  <c r="Q204" i="9" s="1"/>
  <c r="S214" i="9"/>
  <c r="Q214" i="9" s="1"/>
  <c r="I68" i="4"/>
  <c r="I43" i="4"/>
  <c r="I106" i="4"/>
  <c r="I87" i="4"/>
  <c r="I107" i="4"/>
  <c r="I130" i="4"/>
  <c r="I131" i="4"/>
  <c r="I41" i="4"/>
  <c r="I84" i="4"/>
  <c r="I128" i="4"/>
  <c r="I129" i="4"/>
  <c r="I110" i="4"/>
  <c r="I111" i="4"/>
  <c r="I62" i="4"/>
  <c r="I40" i="4"/>
  <c r="I63" i="4"/>
  <c r="I108" i="4"/>
  <c r="I133" i="4"/>
  <c r="I109" i="4"/>
  <c r="I65" i="4"/>
  <c r="Q14" i="10"/>
  <c r="P15" i="10"/>
  <c r="Q15" i="10"/>
  <c r="O14" i="10"/>
  <c r="P14" i="10"/>
  <c r="O15" i="10"/>
  <c r="O34" i="10"/>
  <c r="P34" i="10"/>
  <c r="Q34" i="10"/>
  <c r="AN166" i="4"/>
  <c r="AK26" i="4"/>
  <c r="AK13" i="4"/>
  <c r="AK6" i="4"/>
  <c r="AK31" i="4"/>
  <c r="AK8" i="4"/>
  <c r="AK16" i="4"/>
  <c r="AK24" i="4"/>
  <c r="AK34" i="4"/>
  <c r="AK22" i="4"/>
  <c r="AK23" i="4"/>
  <c r="AK15" i="4"/>
  <c r="AK25" i="4"/>
  <c r="AK33" i="4"/>
  <c r="AK10" i="4"/>
  <c r="AK18" i="4"/>
  <c r="AK28" i="4"/>
  <c r="AK21" i="4"/>
  <c r="AK11" i="4"/>
  <c r="AK19" i="4"/>
  <c r="AK29" i="4"/>
  <c r="AK14" i="4"/>
  <c r="AK7" i="4"/>
  <c r="AK32" i="4"/>
  <c r="AK9" i="4"/>
  <c r="AK17" i="4"/>
  <c r="AK27" i="4"/>
  <c r="AK20" i="4"/>
  <c r="AK12" i="4"/>
  <c r="AK5" i="4"/>
  <c r="AK30" i="4"/>
  <c r="AH5" i="4"/>
  <c r="G627" i="9"/>
  <c r="U626" i="9"/>
  <c r="R626" i="9"/>
  <c r="D579" i="9"/>
  <c r="S578" i="9"/>
  <c r="P578" i="9" s="1"/>
  <c r="D482" i="9"/>
  <c r="S481" i="9"/>
  <c r="P481" i="9" s="1"/>
  <c r="D686" i="9"/>
  <c r="S685" i="9"/>
  <c r="P685" i="9" s="1"/>
  <c r="D730" i="9"/>
  <c r="S729" i="9"/>
  <c r="D598" i="9"/>
  <c r="S597" i="9"/>
  <c r="P597" i="9" s="1"/>
  <c r="D712" i="9"/>
  <c r="S711" i="9"/>
  <c r="P711" i="9" s="1"/>
  <c r="D563" i="9"/>
  <c r="S563" i="9" s="1"/>
  <c r="P562" i="9"/>
  <c r="D167" i="9"/>
  <c r="D131" i="9"/>
  <c r="D122" i="9"/>
  <c r="D145" i="9"/>
  <c r="D107" i="9"/>
  <c r="S107" i="9" s="1"/>
  <c r="Q107" i="9" s="1"/>
  <c r="D235" i="9"/>
  <c r="S235" i="9" s="1"/>
  <c r="Q235" i="9" s="1"/>
  <c r="D320" i="9"/>
  <c r="S320" i="9" s="1"/>
  <c r="Q320" i="9" s="1"/>
  <c r="D347" i="9"/>
  <c r="S347" i="9" s="1"/>
  <c r="Q347" i="9" s="1"/>
  <c r="D442" i="9"/>
  <c r="S442" i="9" s="1"/>
  <c r="Q442" i="9" s="1"/>
  <c r="D280" i="9"/>
  <c r="S280" i="9" s="1"/>
  <c r="Q280" i="9" s="1"/>
  <c r="D308" i="9"/>
  <c r="S308" i="9" s="1"/>
  <c r="Q308" i="9" s="1"/>
  <c r="D215" i="9"/>
  <c r="D205" i="9"/>
  <c r="D329" i="9"/>
  <c r="S329" i="9" s="1"/>
  <c r="Q329" i="9" s="1"/>
  <c r="D378" i="9"/>
  <c r="S378" i="9" s="1"/>
  <c r="Q378" i="9" s="1"/>
  <c r="D225" i="9"/>
  <c r="S225" i="9" s="1"/>
  <c r="Q225" i="9" s="1"/>
  <c r="D254" i="9"/>
  <c r="D338" i="9"/>
  <c r="S338" i="9" s="1"/>
  <c r="Q338" i="9" s="1"/>
  <c r="D96" i="9"/>
  <c r="H132" i="4"/>
  <c r="AI106" i="4"/>
  <c r="AI132" i="4"/>
  <c r="AI220" i="4"/>
  <c r="V109" i="4" l="1"/>
  <c r="Z109" i="4" s="1"/>
  <c r="V44" i="4"/>
  <c r="Z44" i="4" s="1"/>
  <c r="U44" i="4"/>
  <c r="Y44" i="4" s="1"/>
  <c r="I132" i="4"/>
  <c r="T132" i="4"/>
  <c r="X132" i="4" s="1"/>
  <c r="V62" i="4"/>
  <c r="Z62" i="4" s="1"/>
  <c r="U40" i="4"/>
  <c r="Y40" i="4" s="1"/>
  <c r="U151" i="4"/>
  <c r="Y151" i="4" s="1"/>
  <c r="V153" i="4"/>
  <c r="Z153" i="4" s="1"/>
  <c r="U152" i="4"/>
  <c r="Y152" i="4" s="1"/>
  <c r="V154" i="4"/>
  <c r="Z154" i="4" s="1"/>
  <c r="U173" i="4"/>
  <c r="Y173" i="4" s="1"/>
  <c r="U174" i="4"/>
  <c r="Y174" i="4" s="1"/>
  <c r="V175" i="4"/>
  <c r="Z175" i="4" s="1"/>
  <c r="V198" i="4"/>
  <c r="Z198" i="4" s="1"/>
  <c r="V197" i="4"/>
  <c r="Z197" i="4" s="1"/>
  <c r="U196" i="4"/>
  <c r="Y196" i="4" s="1"/>
  <c r="V220" i="4"/>
  <c r="Z220" i="4" s="1"/>
  <c r="U217" i="4"/>
  <c r="Y217" i="4" s="1"/>
  <c r="U239" i="4"/>
  <c r="Y239" i="4" s="1"/>
  <c r="V242" i="4"/>
  <c r="Z242" i="4" s="1"/>
  <c r="V241" i="4"/>
  <c r="Z241" i="4" s="1"/>
  <c r="V41" i="4"/>
  <c r="Z41" i="4" s="1"/>
  <c r="U41" i="4"/>
  <c r="Y41" i="4" s="1"/>
  <c r="X40" i="4"/>
  <c r="U65" i="4"/>
  <c r="Y65" i="4" s="1"/>
  <c r="Z40" i="4"/>
  <c r="V65" i="4"/>
  <c r="Z65" i="4" s="1"/>
  <c r="V243" i="4"/>
  <c r="Z243" i="4" s="1"/>
  <c r="V43" i="4"/>
  <c r="Z43" i="4" s="1"/>
  <c r="U43" i="4"/>
  <c r="Y43" i="4" s="1"/>
  <c r="V63" i="4"/>
  <c r="Z63" i="4" s="1"/>
  <c r="Y62" i="4"/>
  <c r="X62" i="4"/>
  <c r="AA68" i="4"/>
  <c r="U63" i="4"/>
  <c r="Y63" i="4" s="1"/>
  <c r="U87" i="4"/>
  <c r="Y87" i="4" s="1"/>
  <c r="V87" i="4"/>
  <c r="Z87" i="4" s="1"/>
  <c r="X84" i="4"/>
  <c r="U84" i="4"/>
  <c r="V84" i="4"/>
  <c r="V173" i="4"/>
  <c r="Z173" i="4" s="1"/>
  <c r="U175" i="4"/>
  <c r="Y175" i="4" s="1"/>
  <c r="U238" i="4"/>
  <c r="Y238" i="4" s="1"/>
  <c r="V155" i="4"/>
  <c r="Z155" i="4" s="1"/>
  <c r="U242" i="4"/>
  <c r="Y242" i="4" s="1"/>
  <c r="U194" i="4"/>
  <c r="Y194" i="4" s="1"/>
  <c r="U197" i="4"/>
  <c r="Y197" i="4" s="1"/>
  <c r="V239" i="4"/>
  <c r="Z239" i="4" s="1"/>
  <c r="U241" i="4"/>
  <c r="Y241" i="4" s="1"/>
  <c r="U198" i="4"/>
  <c r="Y198" i="4" s="1"/>
  <c r="V240" i="4"/>
  <c r="Z240" i="4" s="1"/>
  <c r="AA240" i="4" s="1"/>
  <c r="Z238" i="4"/>
  <c r="U220" i="4"/>
  <c r="Y220" i="4" s="1"/>
  <c r="V196" i="4"/>
  <c r="Z196" i="4" s="1"/>
  <c r="U243" i="4"/>
  <c r="Y243" i="4" s="1"/>
  <c r="X238" i="4"/>
  <c r="T251" i="4"/>
  <c r="T252" i="4" s="1"/>
  <c r="V199" i="4"/>
  <c r="Z199" i="4" s="1"/>
  <c r="V217" i="4"/>
  <c r="Z217" i="4" s="1"/>
  <c r="U221" i="4"/>
  <c r="Y221" i="4" s="1"/>
  <c r="V221" i="4"/>
  <c r="Z221" i="4" s="1"/>
  <c r="U177" i="4"/>
  <c r="Y177" i="4" s="1"/>
  <c r="V218" i="4"/>
  <c r="Z218" i="4" s="1"/>
  <c r="AA218" i="4" s="1"/>
  <c r="U219" i="4"/>
  <c r="Y219" i="4" s="1"/>
  <c r="AA219" i="4" s="1"/>
  <c r="X216" i="4"/>
  <c r="T229" i="4"/>
  <c r="T230" i="4" s="1"/>
  <c r="U216" i="4"/>
  <c r="U199" i="4"/>
  <c r="Y199" i="4" s="1"/>
  <c r="V216" i="4"/>
  <c r="Z194" i="4"/>
  <c r="U176" i="4"/>
  <c r="Y176" i="4" s="1"/>
  <c r="AA176" i="4" s="1"/>
  <c r="X194" i="4"/>
  <c r="T207" i="4"/>
  <c r="T208" i="4" s="1"/>
  <c r="V195" i="4"/>
  <c r="Z195" i="4" s="1"/>
  <c r="AA195" i="4" s="1"/>
  <c r="Z172" i="4"/>
  <c r="X172" i="4"/>
  <c r="T185" i="4"/>
  <c r="T186" i="4" s="1"/>
  <c r="V177" i="4"/>
  <c r="Z177" i="4" s="1"/>
  <c r="V174" i="4"/>
  <c r="Z174" i="4" s="1"/>
  <c r="U154" i="4"/>
  <c r="Y154" i="4" s="1"/>
  <c r="U172" i="4"/>
  <c r="X150" i="4"/>
  <c r="T163" i="4"/>
  <c r="T164" i="4" s="1"/>
  <c r="U155" i="4"/>
  <c r="Y155" i="4" s="1"/>
  <c r="V152" i="4"/>
  <c r="Z152" i="4" s="1"/>
  <c r="V151" i="4"/>
  <c r="Z151" i="4" s="1"/>
  <c r="U150" i="4"/>
  <c r="U153" i="4"/>
  <c r="Y153" i="4" s="1"/>
  <c r="Z150" i="4"/>
  <c r="V128" i="4"/>
  <c r="Z128" i="4" s="1"/>
  <c r="V130" i="4"/>
  <c r="Z130" i="4" s="1"/>
  <c r="U129" i="4"/>
  <c r="Y129" i="4" s="1"/>
  <c r="V133" i="4"/>
  <c r="Z133" i="4" s="1"/>
  <c r="U133" i="4"/>
  <c r="Y133" i="4" s="1"/>
  <c r="U131" i="4"/>
  <c r="Y131" i="4" s="1"/>
  <c r="V129" i="4"/>
  <c r="Z129" i="4" s="1"/>
  <c r="X128" i="4"/>
  <c r="Y128" i="4"/>
  <c r="V132" i="4"/>
  <c r="Z132" i="4" s="1"/>
  <c r="U130" i="4"/>
  <c r="Y130" i="4" s="1"/>
  <c r="V131" i="4"/>
  <c r="Z131" i="4" s="1"/>
  <c r="V107" i="4"/>
  <c r="Z107" i="4" s="1"/>
  <c r="X107" i="4"/>
  <c r="U106" i="4"/>
  <c r="Y106" i="4" s="1"/>
  <c r="X106" i="4"/>
  <c r="V108" i="4"/>
  <c r="Z108" i="4" s="1"/>
  <c r="X108" i="4"/>
  <c r="U110" i="4"/>
  <c r="Y110" i="4" s="1"/>
  <c r="X110" i="4"/>
  <c r="D183" i="9"/>
  <c r="S183" i="9" s="1"/>
  <c r="Q183" i="9" s="1"/>
  <c r="S182" i="9"/>
  <c r="Q182" i="9" s="1"/>
  <c r="V111" i="4"/>
  <c r="Z111" i="4" s="1"/>
  <c r="U111" i="4"/>
  <c r="Y111" i="4" s="1"/>
  <c r="U109" i="4"/>
  <c r="Y109" i="4" s="1"/>
  <c r="V106" i="4"/>
  <c r="Z106" i="4" s="1"/>
  <c r="D543" i="9"/>
  <c r="S542" i="9"/>
  <c r="P542" i="9" s="1"/>
  <c r="S215" i="9"/>
  <c r="Q215" i="9" s="1"/>
  <c r="S205" i="9"/>
  <c r="Q205" i="9" s="1"/>
  <c r="F151" i="110"/>
  <c r="AK4" i="4"/>
  <c r="AL4" i="4" s="1"/>
  <c r="D599" i="9"/>
  <c r="S598" i="9"/>
  <c r="P598" i="9" s="1"/>
  <c r="D713" i="9"/>
  <c r="S712" i="9"/>
  <c r="P712" i="9" s="1"/>
  <c r="D731" i="9"/>
  <c r="S730" i="9"/>
  <c r="D483" i="9"/>
  <c r="S482" i="9"/>
  <c r="P482" i="9" s="1"/>
  <c r="D580" i="9"/>
  <c r="S579" i="9"/>
  <c r="P579" i="9" s="1"/>
  <c r="D687" i="9"/>
  <c r="S686" i="9"/>
  <c r="P686" i="9" s="1"/>
  <c r="G628" i="9"/>
  <c r="U627" i="9"/>
  <c r="R627" i="9"/>
  <c r="D564" i="9"/>
  <c r="S564" i="9" s="1"/>
  <c r="P563" i="9"/>
  <c r="D146" i="9"/>
  <c r="D132" i="9"/>
  <c r="D108" i="9"/>
  <c r="S108" i="9" s="1"/>
  <c r="Q108" i="9" s="1"/>
  <c r="D168" i="9"/>
  <c r="D216" i="9"/>
  <c r="D281" i="9"/>
  <c r="S281" i="9" s="1"/>
  <c r="Q281" i="9" s="1"/>
  <c r="D349" i="9"/>
  <c r="S349" i="9" s="1"/>
  <c r="Q349" i="9" s="1"/>
  <c r="D236" i="9"/>
  <c r="S236" i="9" s="1"/>
  <c r="Q236" i="9" s="1"/>
  <c r="D255" i="9"/>
  <c r="D226" i="9"/>
  <c r="S226" i="9" s="1"/>
  <c r="Q226" i="9" s="1"/>
  <c r="D379" i="9"/>
  <c r="S379" i="9" s="1"/>
  <c r="Q379" i="9" s="1"/>
  <c r="D206" i="9"/>
  <c r="D309" i="9"/>
  <c r="S309" i="9" s="1"/>
  <c r="Q309" i="9" s="1"/>
  <c r="D443" i="9"/>
  <c r="S443" i="9" s="1"/>
  <c r="Q443" i="9" s="1"/>
  <c r="D97" i="9"/>
  <c r="H112" i="4"/>
  <c r="AA155" i="4" l="1"/>
  <c r="AA44" i="4"/>
  <c r="T141" i="4"/>
  <c r="T142" i="4" s="1"/>
  <c r="AA196" i="4"/>
  <c r="AA173" i="4"/>
  <c r="AA154" i="4"/>
  <c r="U132" i="4"/>
  <c r="Y132" i="4" s="1"/>
  <c r="AA132" i="4" s="1"/>
  <c r="AA151" i="4"/>
  <c r="AA153" i="4"/>
  <c r="AA152" i="4"/>
  <c r="AA175" i="4"/>
  <c r="AA174" i="4"/>
  <c r="AA198" i="4"/>
  <c r="AA197" i="4"/>
  <c r="AA217" i="4"/>
  <c r="AA220" i="4"/>
  <c r="AA239" i="4"/>
  <c r="AA242" i="4"/>
  <c r="AA241" i="4"/>
  <c r="AA43" i="4"/>
  <c r="AA41" i="4"/>
  <c r="AA65" i="4"/>
  <c r="AA243" i="4"/>
  <c r="AA63" i="4"/>
  <c r="AA40" i="4"/>
  <c r="AA62" i="4"/>
  <c r="AA87" i="4"/>
  <c r="Y84" i="4"/>
  <c r="Z84" i="4"/>
  <c r="V251" i="4"/>
  <c r="V252" i="4" s="1"/>
  <c r="AA199" i="4"/>
  <c r="Z251" i="4"/>
  <c r="Y251" i="4"/>
  <c r="AA221" i="4"/>
  <c r="AA238" i="4"/>
  <c r="X251" i="4"/>
  <c r="U251" i="4"/>
  <c r="U252" i="4" s="1"/>
  <c r="Z216" i="4"/>
  <c r="Z229" i="4" s="1"/>
  <c r="V229" i="4"/>
  <c r="V230" i="4" s="1"/>
  <c r="V163" i="4"/>
  <c r="V164" i="4" s="1"/>
  <c r="AA177" i="4"/>
  <c r="Y216" i="4"/>
  <c r="Y229" i="4" s="1"/>
  <c r="U229" i="4"/>
  <c r="U230" i="4" s="1"/>
  <c r="U207" i="4"/>
  <c r="U208" i="4" s="1"/>
  <c r="X229" i="4"/>
  <c r="Y207" i="4"/>
  <c r="X207" i="4"/>
  <c r="AA194" i="4"/>
  <c r="V185" i="4"/>
  <c r="V186" i="4" s="1"/>
  <c r="V207" i="4"/>
  <c r="V208" i="4" s="1"/>
  <c r="Z207" i="4"/>
  <c r="X185" i="4"/>
  <c r="Y172" i="4"/>
  <c r="Y185" i="4" s="1"/>
  <c r="U185" i="4"/>
  <c r="U186" i="4" s="1"/>
  <c r="Z185" i="4"/>
  <c r="Y150" i="4"/>
  <c r="Y163" i="4" s="1"/>
  <c r="U163" i="4"/>
  <c r="U164" i="4" s="1"/>
  <c r="Z163" i="4"/>
  <c r="X163" i="4"/>
  <c r="AA131" i="4"/>
  <c r="AA130" i="4"/>
  <c r="AA133" i="4"/>
  <c r="AA129" i="4"/>
  <c r="V141" i="4"/>
  <c r="V142" i="4" s="1"/>
  <c r="Z141" i="4"/>
  <c r="AA128" i="4"/>
  <c r="X141" i="4"/>
  <c r="AG230" i="4"/>
  <c r="V112" i="4"/>
  <c r="Z112" i="4" s="1"/>
  <c r="I112" i="4"/>
  <c r="T112" i="4"/>
  <c r="X112" i="4" s="1"/>
  <c r="U112" i="4"/>
  <c r="Y112" i="4" s="1"/>
  <c r="AA109" i="4"/>
  <c r="AA110" i="4"/>
  <c r="AA111" i="4"/>
  <c r="AA108" i="4"/>
  <c r="D544" i="9"/>
  <c r="S543" i="9"/>
  <c r="P543" i="9" s="1"/>
  <c r="S206" i="9"/>
  <c r="Q206" i="9" s="1"/>
  <c r="S216" i="9"/>
  <c r="Q216" i="9" s="1"/>
  <c r="G629" i="9"/>
  <c r="G630" i="9" s="1"/>
  <c r="R628" i="9"/>
  <c r="U628" i="9"/>
  <c r="D581" i="9"/>
  <c r="S580" i="9"/>
  <c r="P580" i="9" s="1"/>
  <c r="D732" i="9"/>
  <c r="S731" i="9"/>
  <c r="P731" i="9" s="1"/>
  <c r="D688" i="9"/>
  <c r="S687" i="9"/>
  <c r="P687" i="9" s="1"/>
  <c r="S483" i="9"/>
  <c r="P483" i="9" s="1"/>
  <c r="D484" i="9"/>
  <c r="D714" i="9"/>
  <c r="S713" i="9"/>
  <c r="P713" i="9" s="1"/>
  <c r="D600" i="9"/>
  <c r="S599" i="9"/>
  <c r="P599" i="9" s="1"/>
  <c r="D565" i="9"/>
  <c r="S565" i="9" s="1"/>
  <c r="P564" i="9"/>
  <c r="D133" i="9"/>
  <c r="D109" i="9"/>
  <c r="S109" i="9" s="1"/>
  <c r="Q109" i="9" s="1"/>
  <c r="D147" i="9"/>
  <c r="D310" i="9"/>
  <c r="S310" i="9" s="1"/>
  <c r="Q310" i="9" s="1"/>
  <c r="D381" i="9"/>
  <c r="S381" i="9" s="1"/>
  <c r="Q381" i="9" s="1"/>
  <c r="D350" i="9"/>
  <c r="S350" i="9" s="1"/>
  <c r="Q350" i="9" s="1"/>
  <c r="D444" i="9"/>
  <c r="S444" i="9" s="1"/>
  <c r="Q444" i="9" s="1"/>
  <c r="D282" i="9"/>
  <c r="S282" i="9" s="1"/>
  <c r="Q282" i="9" s="1"/>
  <c r="D98" i="9"/>
  <c r="AI112" i="4"/>
  <c r="Y141" i="4" l="1"/>
  <c r="U141" i="4"/>
  <c r="U142" i="4" s="1"/>
  <c r="AJ142" i="4" s="1"/>
  <c r="AA251" i="4"/>
  <c r="AA84" i="4"/>
  <c r="AA207" i="4"/>
  <c r="AJ209" i="4" s="1"/>
  <c r="I209" i="4" s="1"/>
  <c r="V253" i="4"/>
  <c r="V231" i="4"/>
  <c r="V165" i="4"/>
  <c r="V209" i="4"/>
  <c r="V187" i="4"/>
  <c r="AA216" i="4"/>
  <c r="AA229" i="4" s="1"/>
  <c r="AA172" i="4"/>
  <c r="AA185" i="4" s="1"/>
  <c r="AJ187" i="4" s="1"/>
  <c r="I187" i="4" s="1"/>
  <c r="AA150" i="4"/>
  <c r="AA163" i="4" s="1"/>
  <c r="AJ165" i="4" s="1"/>
  <c r="I165" i="4" s="1"/>
  <c r="AA141" i="4"/>
  <c r="Z119" i="4"/>
  <c r="AG252" i="4"/>
  <c r="AG254" i="4" s="1"/>
  <c r="AJ252" i="4"/>
  <c r="AJ230" i="4"/>
  <c r="I230" i="4" s="1"/>
  <c r="AG232" i="4"/>
  <c r="AG208" i="4"/>
  <c r="AG210" i="4" s="1"/>
  <c r="AJ208" i="4"/>
  <c r="V119" i="4"/>
  <c r="V120" i="4" s="1"/>
  <c r="U119" i="4"/>
  <c r="U120" i="4" s="1"/>
  <c r="T119" i="4"/>
  <c r="T120" i="4" s="1"/>
  <c r="AA107" i="4"/>
  <c r="AA106" i="4"/>
  <c r="AG186" i="4"/>
  <c r="AG188" i="4" s="1"/>
  <c r="AJ164" i="4"/>
  <c r="AG164" i="4"/>
  <c r="AG166" i="4" s="1"/>
  <c r="D545" i="9"/>
  <c r="S544" i="9"/>
  <c r="P544" i="9" s="1"/>
  <c r="R630" i="9"/>
  <c r="U630" i="9"/>
  <c r="AG142" i="4"/>
  <c r="AG144" i="4" s="1"/>
  <c r="I61" i="110"/>
  <c r="K60" i="110" s="1"/>
  <c r="G46" i="3" s="1"/>
  <c r="D485" i="9"/>
  <c r="S484" i="9"/>
  <c r="P484" i="9" s="1"/>
  <c r="R629" i="9"/>
  <c r="U629" i="9"/>
  <c r="D601" i="9"/>
  <c r="S600" i="9"/>
  <c r="P600" i="9" s="1"/>
  <c r="D582" i="9"/>
  <c r="S581" i="9"/>
  <c r="P581" i="9" s="1"/>
  <c r="D715" i="9"/>
  <c r="S714" i="9"/>
  <c r="P714" i="9" s="1"/>
  <c r="D689" i="9"/>
  <c r="S688" i="9"/>
  <c r="P688" i="9" s="1"/>
  <c r="D733" i="9"/>
  <c r="S732" i="9"/>
  <c r="P732" i="9" s="1"/>
  <c r="D566" i="9"/>
  <c r="S566" i="9" s="1"/>
  <c r="P565" i="9"/>
  <c r="D148" i="9"/>
  <c r="D134" i="9"/>
  <c r="D110" i="9"/>
  <c r="S110" i="9" s="1"/>
  <c r="Q110" i="9" s="1"/>
  <c r="D351" i="9"/>
  <c r="S351" i="9" s="1"/>
  <c r="Q351" i="9" s="1"/>
  <c r="D311" i="9"/>
  <c r="S311" i="9" s="1"/>
  <c r="Q311" i="9" s="1"/>
  <c r="D283" i="9"/>
  <c r="S283" i="9" s="1"/>
  <c r="Q283" i="9" s="1"/>
  <c r="D382" i="9"/>
  <c r="S382" i="9" s="1"/>
  <c r="Q382" i="9" s="1"/>
  <c r="P9" i="2"/>
  <c r="P7" i="2"/>
  <c r="V143" i="4" l="1"/>
  <c r="I252" i="4"/>
  <c r="AJ231" i="4"/>
  <c r="I231" i="4" s="1"/>
  <c r="AJ253" i="4"/>
  <c r="I253" i="4" s="1"/>
  <c r="I208" i="4"/>
  <c r="AJ210" i="4"/>
  <c r="I210" i="4" s="1"/>
  <c r="I190" i="4" s="1"/>
  <c r="V121" i="4"/>
  <c r="AJ120" i="4"/>
  <c r="AG120" i="4"/>
  <c r="AG122" i="4" s="1"/>
  <c r="AA112" i="4"/>
  <c r="AA119" i="4" s="1"/>
  <c r="AJ121" i="4" s="1"/>
  <c r="I121" i="4" s="1"/>
  <c r="X119" i="4"/>
  <c r="Y119" i="4"/>
  <c r="AJ186" i="4"/>
  <c r="I186" i="4" s="1"/>
  <c r="AK188" i="4" s="1"/>
  <c r="AJ166" i="4"/>
  <c r="I166" i="4" s="1"/>
  <c r="I146" i="4" s="1"/>
  <c r="I164" i="4"/>
  <c r="D546" i="9"/>
  <c r="S545" i="9"/>
  <c r="P545" i="9" s="1"/>
  <c r="AJ143" i="4"/>
  <c r="I143" i="4" s="1"/>
  <c r="I142" i="4"/>
  <c r="D690" i="9"/>
  <c r="S689" i="9"/>
  <c r="P689" i="9" s="1"/>
  <c r="D583" i="9"/>
  <c r="S582" i="9"/>
  <c r="P582" i="9" s="1"/>
  <c r="D602" i="9"/>
  <c r="S601" i="9"/>
  <c r="P601" i="9" s="1"/>
  <c r="D486" i="9"/>
  <c r="S485" i="9"/>
  <c r="P485" i="9" s="1"/>
  <c r="D734" i="9"/>
  <c r="S733" i="9"/>
  <c r="P733" i="9" s="1"/>
  <c r="D716" i="9"/>
  <c r="S715" i="9"/>
  <c r="P715" i="9" s="1"/>
  <c r="D567" i="9"/>
  <c r="S567" i="9" s="1"/>
  <c r="P566" i="9"/>
  <c r="D149" i="9"/>
  <c r="D135" i="9"/>
  <c r="D383" i="9"/>
  <c r="S383" i="9" s="1"/>
  <c r="Q383" i="9" s="1"/>
  <c r="D352" i="9"/>
  <c r="S352" i="9" s="1"/>
  <c r="Q352" i="9" s="1"/>
  <c r="N131" i="2"/>
  <c r="J24" i="2"/>
  <c r="K24" i="2"/>
  <c r="G24" i="2"/>
  <c r="H24" i="2"/>
  <c r="F24" i="2"/>
  <c r="D24" i="2"/>
  <c r="E24" i="2"/>
  <c r="C24" i="2"/>
  <c r="I116" i="2"/>
  <c r="I119" i="2" s="1"/>
  <c r="W105" i="2"/>
  <c r="W102" i="2"/>
  <c r="W99" i="2"/>
  <c r="I100" i="2"/>
  <c r="I108" i="2" s="1"/>
  <c r="H102" i="2"/>
  <c r="G102" i="2"/>
  <c r="G106" i="2" s="1"/>
  <c r="W104" i="2"/>
  <c r="W103" i="2"/>
  <c r="W101" i="2"/>
  <c r="W100" i="2"/>
  <c r="W97" i="2"/>
  <c r="W96" i="2"/>
  <c r="W95" i="2"/>
  <c r="W146" i="2"/>
  <c r="W147" i="2"/>
  <c r="W145" i="2"/>
  <c r="W144" i="2"/>
  <c r="W143" i="2"/>
  <c r="W142" i="2"/>
  <c r="W141" i="2"/>
  <c r="W140" i="2"/>
  <c r="W139" i="2"/>
  <c r="W137" i="2"/>
  <c r="W138" i="2"/>
  <c r="W136" i="2"/>
  <c r="W134" i="2"/>
  <c r="H166" i="2"/>
  <c r="H168" i="2" s="1"/>
  <c r="I166" i="2"/>
  <c r="I168" i="2" s="1"/>
  <c r="G166" i="2"/>
  <c r="G168" i="2" s="1"/>
  <c r="H76" i="2"/>
  <c r="H78" i="2" s="1"/>
  <c r="I76" i="2"/>
  <c r="I78" i="2" s="1"/>
  <c r="G76" i="2"/>
  <c r="G78" i="2" s="1"/>
  <c r="I54" i="2"/>
  <c r="H139" i="2" s="1"/>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40" i="2"/>
  <c r="O241" i="2"/>
  <c r="O242" i="2"/>
  <c r="O243" i="2"/>
  <c r="O244" i="2"/>
  <c r="O245" i="2"/>
  <c r="O246" i="2"/>
  <c r="O247" i="2"/>
  <c r="O261" i="2"/>
  <c r="O262" i="2"/>
  <c r="O263" i="2"/>
  <c r="O264" i="2"/>
  <c r="O265" i="2"/>
  <c r="O269" i="2"/>
  <c r="O302" i="2"/>
  <c r="O303" i="2"/>
  <c r="O304" i="2"/>
  <c r="O305" i="2"/>
  <c r="O306" i="2"/>
  <c r="O307" i="2"/>
  <c r="O308" i="2"/>
  <c r="O309" i="2"/>
  <c r="O310" i="2"/>
  <c r="O311" i="2"/>
  <c r="O312" i="2"/>
  <c r="O313" i="2"/>
  <c r="O314" i="2"/>
  <c r="O315" i="2"/>
  <c r="O317" i="2"/>
  <c r="O318" i="2"/>
  <c r="O319" i="2"/>
  <c r="O321" i="2"/>
  <c r="O322" i="2"/>
  <c r="O323" i="2"/>
  <c r="O324" i="2"/>
  <c r="O325" i="2"/>
  <c r="O327" i="2"/>
  <c r="O328" i="2"/>
  <c r="O329" i="2"/>
  <c r="O346" i="2"/>
  <c r="O347" i="2"/>
  <c r="O348" i="2"/>
  <c r="O349" i="2"/>
  <c r="O350" i="2"/>
  <c r="O351" i="2"/>
  <c r="O352" i="2"/>
  <c r="O353" i="2"/>
  <c r="O354" i="2"/>
  <c r="O355" i="2"/>
  <c r="O356" i="2"/>
  <c r="O357" i="2"/>
  <c r="O358" i="2"/>
  <c r="O359" i="2"/>
  <c r="O360" i="2"/>
  <c r="O361" i="2"/>
  <c r="O362" i="2"/>
  <c r="O363" i="2"/>
  <c r="O364" i="2"/>
  <c r="O365" i="2"/>
  <c r="O366" i="2"/>
  <c r="O367" i="2"/>
  <c r="O368" i="2"/>
  <c r="O369" i="2"/>
  <c r="O372" i="2"/>
  <c r="O373" i="2"/>
  <c r="O374" i="2"/>
  <c r="O375" i="2"/>
  <c r="O376" i="2"/>
  <c r="O377" i="2"/>
  <c r="O404" i="2"/>
  <c r="O405" i="2"/>
  <c r="O406" i="2"/>
  <c r="O407" i="2"/>
  <c r="O408" i="2"/>
  <c r="O409" i="2"/>
  <c r="O410" i="2"/>
  <c r="O411" i="2"/>
  <c r="O213" i="2"/>
  <c r="G47" i="2"/>
  <c r="W29" i="2"/>
  <c r="W28" i="2"/>
  <c r="W27" i="2"/>
  <c r="W26" i="2"/>
  <c r="W24" i="2"/>
  <c r="W25" i="2"/>
  <c r="W23" i="2"/>
  <c r="W22" i="2"/>
  <c r="W21" i="2"/>
  <c r="W20" i="2"/>
  <c r="V135" i="2"/>
  <c r="V134" i="2"/>
  <c r="V95" i="2"/>
  <c r="I120" i="4" l="1"/>
  <c r="AK122" i="4" s="1"/>
  <c r="K122" i="4" s="1"/>
  <c r="AK254" i="4"/>
  <c r="K254" i="4" s="1"/>
  <c r="AK232" i="4"/>
  <c r="K232" i="4" s="1"/>
  <c r="AK210" i="4"/>
  <c r="K210" i="4" s="1"/>
  <c r="AK144" i="4"/>
  <c r="K144" i="4" s="1"/>
  <c r="AK166" i="4"/>
  <c r="K166" i="4" s="1"/>
  <c r="AJ232" i="4"/>
  <c r="I232" i="4" s="1"/>
  <c r="I212" i="4" s="1"/>
  <c r="AJ254" i="4"/>
  <c r="I254" i="4" s="1"/>
  <c r="I234" i="4" s="1"/>
  <c r="K188" i="4"/>
  <c r="AJ122" i="4"/>
  <c r="I122" i="4" s="1"/>
  <c r="I102" i="4" s="1"/>
  <c r="AJ188" i="4"/>
  <c r="I188" i="4" s="1"/>
  <c r="I168" i="4" s="1"/>
  <c r="D547" i="9"/>
  <c r="S546" i="9"/>
  <c r="P546" i="9" s="1"/>
  <c r="H104" i="2"/>
  <c r="H106" i="2"/>
  <c r="I121" i="2"/>
  <c r="J121" i="2" s="1"/>
  <c r="I123" i="2"/>
  <c r="J123" i="2" s="1"/>
  <c r="AJ144" i="4"/>
  <c r="I144" i="4" s="1"/>
  <c r="I124" i="4" s="1"/>
  <c r="I112" i="2"/>
  <c r="J28" i="2" s="1"/>
  <c r="G163" i="110"/>
  <c r="I45" i="110"/>
  <c r="H171" i="2"/>
  <c r="H81" i="2"/>
  <c r="D603" i="9"/>
  <c r="S602" i="9"/>
  <c r="P602" i="9" s="1"/>
  <c r="D717" i="9"/>
  <c r="S716" i="9"/>
  <c r="P716" i="9" s="1"/>
  <c r="D487" i="9"/>
  <c r="S486" i="9"/>
  <c r="P486" i="9" s="1"/>
  <c r="D584" i="9"/>
  <c r="S583" i="9"/>
  <c r="P583" i="9" s="1"/>
  <c r="D735" i="9"/>
  <c r="S734" i="9"/>
  <c r="P734" i="9" s="1"/>
  <c r="D691" i="9"/>
  <c r="S690" i="9"/>
  <c r="P690" i="9" s="1"/>
  <c r="D568" i="9"/>
  <c r="S568" i="9" s="1"/>
  <c r="P567" i="9"/>
  <c r="D136" i="9"/>
  <c r="D150" i="9"/>
  <c r="D353" i="9"/>
  <c r="S353" i="9" s="1"/>
  <c r="Q353" i="9" s="1"/>
  <c r="D384" i="9"/>
  <c r="S384" i="9" s="1"/>
  <c r="Q384" i="9" s="1"/>
  <c r="I102" i="2"/>
  <c r="G104" i="2"/>
  <c r="J119" i="2"/>
  <c r="D28" i="2"/>
  <c r="L2" i="4"/>
  <c r="S3" i="4"/>
  <c r="V98" i="2"/>
  <c r="D548" i="9" l="1"/>
  <c r="S547" i="9"/>
  <c r="P547" i="9" s="1"/>
  <c r="I81" i="2"/>
  <c r="H85" i="2"/>
  <c r="H173" i="2"/>
  <c r="I173" i="2" s="1"/>
  <c r="H175" i="2"/>
  <c r="I175" i="2" s="1"/>
  <c r="I104" i="2"/>
  <c r="I106" i="2"/>
  <c r="H140" i="2"/>
  <c r="X163" i="110"/>
  <c r="W163" i="110"/>
  <c r="V163" i="110"/>
  <c r="U163" i="110"/>
  <c r="T163" i="110"/>
  <c r="S163" i="110"/>
  <c r="R163" i="110"/>
  <c r="P163" i="110"/>
  <c r="O163" i="110"/>
  <c r="N163" i="110"/>
  <c r="M163" i="110"/>
  <c r="Q163" i="110"/>
  <c r="G166" i="110"/>
  <c r="I48" i="110"/>
  <c r="G164" i="110"/>
  <c r="I46" i="110"/>
  <c r="G165" i="110"/>
  <c r="I47" i="110"/>
  <c r="D736" i="9"/>
  <c r="S735" i="9"/>
  <c r="P735" i="9" s="1"/>
  <c r="D488" i="9"/>
  <c r="S488" i="9" s="1"/>
  <c r="P488" i="9" s="1"/>
  <c r="S487" i="9"/>
  <c r="P487" i="9" s="1"/>
  <c r="D604" i="9"/>
  <c r="S603" i="9"/>
  <c r="P603" i="9" s="1"/>
  <c r="D692" i="9"/>
  <c r="S691" i="9"/>
  <c r="P691" i="9" s="1"/>
  <c r="D585" i="9"/>
  <c r="S584" i="9"/>
  <c r="P584" i="9" s="1"/>
  <c r="D718" i="9"/>
  <c r="S717" i="9"/>
  <c r="P717" i="9" s="1"/>
  <c r="D569" i="9"/>
  <c r="S569" i="9" s="1"/>
  <c r="P568" i="9"/>
  <c r="D151" i="9"/>
  <c r="D385" i="9"/>
  <c r="S385" i="9" s="1"/>
  <c r="Q385" i="9" s="1"/>
  <c r="D354" i="9"/>
  <c r="S354" i="9" s="1"/>
  <c r="Q354" i="9" s="1"/>
  <c r="I171" i="2"/>
  <c r="H83" i="2"/>
  <c r="D549" i="9" l="1"/>
  <c r="S548" i="9"/>
  <c r="P548" i="9" s="1"/>
  <c r="I83" i="2"/>
  <c r="I85" i="2"/>
  <c r="X164" i="110"/>
  <c r="W164" i="110"/>
  <c r="V164" i="110"/>
  <c r="U164" i="110"/>
  <c r="T164" i="110"/>
  <c r="S164" i="110"/>
  <c r="R164" i="110"/>
  <c r="P164" i="110"/>
  <c r="O164" i="110"/>
  <c r="N164" i="110"/>
  <c r="M164" i="110"/>
  <c r="Q164" i="110"/>
  <c r="X165" i="110"/>
  <c r="W165" i="110"/>
  <c r="V165" i="110"/>
  <c r="M165" i="110"/>
  <c r="U165" i="110"/>
  <c r="T165" i="110"/>
  <c r="S165" i="110"/>
  <c r="R165" i="110"/>
  <c r="P165" i="110"/>
  <c r="O165" i="110"/>
  <c r="N165" i="110"/>
  <c r="Q165" i="110"/>
  <c r="X166" i="110"/>
  <c r="W166" i="110"/>
  <c r="V166" i="110"/>
  <c r="M166" i="110"/>
  <c r="Q166" i="110"/>
  <c r="T166" i="110"/>
  <c r="S166" i="110"/>
  <c r="R166" i="110"/>
  <c r="P166" i="110"/>
  <c r="O166" i="110"/>
  <c r="N166" i="110"/>
  <c r="U166" i="110"/>
  <c r="K44" i="110"/>
  <c r="G44" i="3" s="1"/>
  <c r="D586" i="9"/>
  <c r="S585" i="9"/>
  <c r="P585" i="9" s="1"/>
  <c r="D605" i="9"/>
  <c r="S604" i="9"/>
  <c r="P604" i="9" s="1"/>
  <c r="D737" i="9"/>
  <c r="S736" i="9"/>
  <c r="P736" i="9" s="1"/>
  <c r="D719" i="9"/>
  <c r="S718" i="9"/>
  <c r="P718" i="9" s="1"/>
  <c r="D693" i="9"/>
  <c r="S692" i="9"/>
  <c r="P692" i="9" s="1"/>
  <c r="D570" i="9"/>
  <c r="P569" i="9"/>
  <c r="D152" i="9"/>
  <c r="D355" i="9"/>
  <c r="S355" i="9" s="1"/>
  <c r="Q355" i="9" s="1"/>
  <c r="D386" i="9"/>
  <c r="S386" i="9" s="1"/>
  <c r="Q386" i="9" s="1"/>
  <c r="S719" i="9" l="1"/>
  <c r="D720" i="9"/>
  <c r="S570" i="9"/>
  <c r="P570" i="9" s="1"/>
  <c r="D550" i="9"/>
  <c r="S549" i="9"/>
  <c r="P549" i="9" s="1"/>
  <c r="D606" i="9"/>
  <c r="S605" i="9"/>
  <c r="P605" i="9" s="1"/>
  <c r="D694" i="9"/>
  <c r="S693" i="9"/>
  <c r="P693" i="9" s="1"/>
  <c r="D738" i="9"/>
  <c r="S737" i="9"/>
  <c r="P737" i="9" s="1"/>
  <c r="D587" i="9"/>
  <c r="S586" i="9"/>
  <c r="P586" i="9" s="1"/>
  <c r="D153" i="9"/>
  <c r="D387" i="9"/>
  <c r="S387" i="9" s="1"/>
  <c r="Q387" i="9" s="1"/>
  <c r="D356" i="9"/>
  <c r="S356" i="9" s="1"/>
  <c r="Q356" i="9" s="1"/>
  <c r="S720" i="9" l="1"/>
  <c r="P720" i="9" s="1"/>
  <c r="D721" i="9"/>
  <c r="D551" i="9"/>
  <c r="S550" i="9"/>
  <c r="P550" i="9" s="1"/>
  <c r="D588" i="9"/>
  <c r="S587" i="9"/>
  <c r="P587" i="9" s="1"/>
  <c r="D695" i="9"/>
  <c r="S694" i="9"/>
  <c r="P694" i="9" s="1"/>
  <c r="D739" i="9"/>
  <c r="S738" i="9"/>
  <c r="P738" i="9" s="1"/>
  <c r="D607" i="9"/>
  <c r="S606" i="9"/>
  <c r="P606" i="9" s="1"/>
  <c r="D388" i="9"/>
  <c r="S388" i="9" s="1"/>
  <c r="Q388" i="9" s="1"/>
  <c r="D358" i="9"/>
  <c r="S358" i="9" s="1"/>
  <c r="Q358" i="9" s="1"/>
  <c r="S721" i="9" l="1"/>
  <c r="P721" i="9" s="1"/>
  <c r="D552" i="9"/>
  <c r="S551" i="9"/>
  <c r="P551" i="9" s="1"/>
  <c r="S588" i="9"/>
  <c r="P588" i="9" s="1"/>
  <c r="D589" i="9"/>
  <c r="S589" i="9" s="1"/>
  <c r="P589" i="9" s="1"/>
  <c r="D740" i="9"/>
  <c r="S739" i="9"/>
  <c r="P739" i="9" s="1"/>
  <c r="D608" i="9"/>
  <c r="S607" i="9"/>
  <c r="P607" i="9" s="1"/>
  <c r="D696" i="9"/>
  <c r="S695" i="9"/>
  <c r="P695" i="9" s="1"/>
  <c r="D390" i="9"/>
  <c r="S390" i="9" s="1"/>
  <c r="Q390" i="9" s="1"/>
  <c r="D359" i="9"/>
  <c r="S359" i="9" s="1"/>
  <c r="Q359" i="9" s="1"/>
  <c r="D553" i="9" l="1"/>
  <c r="S552" i="9"/>
  <c r="P552" i="9" s="1"/>
  <c r="D697" i="9"/>
  <c r="S696" i="9"/>
  <c r="P696" i="9" s="1"/>
  <c r="D741" i="9"/>
  <c r="S740" i="9"/>
  <c r="P740" i="9" s="1"/>
  <c r="D609" i="9"/>
  <c r="S608" i="9"/>
  <c r="P608" i="9" s="1"/>
  <c r="D360" i="9"/>
  <c r="S360" i="9" s="1"/>
  <c r="Q360" i="9" s="1"/>
  <c r="D391" i="9"/>
  <c r="S391" i="9" s="1"/>
  <c r="Q391" i="9" s="1"/>
  <c r="D554" i="9" l="1"/>
  <c r="S554" i="9" s="1"/>
  <c r="P554" i="9" s="1"/>
  <c r="S553" i="9"/>
  <c r="P553" i="9" s="1"/>
  <c r="D610" i="9"/>
  <c r="S609" i="9"/>
  <c r="P609" i="9" s="1"/>
  <c r="D698" i="9"/>
  <c r="S697" i="9"/>
  <c r="P697" i="9" s="1"/>
  <c r="D742" i="9"/>
  <c r="S741" i="9"/>
  <c r="P741" i="9" s="1"/>
  <c r="D392" i="9"/>
  <c r="S392" i="9" s="1"/>
  <c r="Q392" i="9" s="1"/>
  <c r="D361" i="9"/>
  <c r="S361" i="9" s="1"/>
  <c r="Q361" i="9" s="1"/>
  <c r="W59" i="2"/>
  <c r="W58" i="2"/>
  <c r="W57" i="2"/>
  <c r="W56" i="2"/>
  <c r="W55" i="2"/>
  <c r="W54" i="2"/>
  <c r="W53" i="2"/>
  <c r="W52" i="2"/>
  <c r="W51" i="2"/>
  <c r="W50" i="2"/>
  <c r="W49" i="2"/>
  <c r="W47" i="2"/>
  <c r="W48" i="2"/>
  <c r="W46" i="2"/>
  <c r="O196" i="2"/>
  <c r="O195" i="2"/>
  <c r="O194" i="2"/>
  <c r="O193" i="2"/>
  <c r="O192" i="2"/>
  <c r="O191" i="2"/>
  <c r="O190" i="2"/>
  <c r="O189" i="2"/>
  <c r="O188" i="2"/>
  <c r="O187" i="2"/>
  <c r="O186" i="2"/>
  <c r="O185" i="2"/>
  <c r="B405" i="2"/>
  <c r="A405" i="2" s="1"/>
  <c r="A404" i="2"/>
  <c r="D403" i="2"/>
  <c r="O403" i="2" s="1"/>
  <c r="D402" i="2"/>
  <c r="O402" i="2" s="1"/>
  <c r="D401" i="2"/>
  <c r="O401" i="2" s="1"/>
  <c r="D400" i="2"/>
  <c r="O400" i="2" s="1"/>
  <c r="D399" i="2"/>
  <c r="O399" i="2" s="1"/>
  <c r="D398" i="2"/>
  <c r="O398" i="2" s="1"/>
  <c r="D397" i="2"/>
  <c r="O397" i="2" s="1"/>
  <c r="D396" i="2"/>
  <c r="O396" i="2" s="1"/>
  <c r="D395" i="2"/>
  <c r="O395" i="2" s="1"/>
  <c r="D394" i="2"/>
  <c r="O394" i="2" s="1"/>
  <c r="D393" i="2"/>
  <c r="O393" i="2" s="1"/>
  <c r="D392" i="2"/>
  <c r="O392" i="2" s="1"/>
  <c r="D391" i="2"/>
  <c r="O391" i="2" s="1"/>
  <c r="D390" i="2"/>
  <c r="O390" i="2" s="1"/>
  <c r="D389" i="2"/>
  <c r="O389" i="2" s="1"/>
  <c r="D388" i="2"/>
  <c r="D387" i="2"/>
  <c r="O387" i="2" s="1"/>
  <c r="D386" i="2"/>
  <c r="O386" i="2" s="1"/>
  <c r="D385" i="2"/>
  <c r="D384" i="2"/>
  <c r="O384" i="2" s="1"/>
  <c r="D383" i="2"/>
  <c r="O383" i="2" s="1"/>
  <c r="D382" i="2"/>
  <c r="O382" i="2" s="1"/>
  <c r="D381" i="2"/>
  <c r="O381" i="2" s="1"/>
  <c r="D380" i="2"/>
  <c r="D379" i="2"/>
  <c r="D378" i="2"/>
  <c r="B378" i="2"/>
  <c r="A377" i="2"/>
  <c r="D371" i="2"/>
  <c r="O371" i="2" s="1"/>
  <c r="D370" i="2"/>
  <c r="O370" i="2" s="1"/>
  <c r="B356" i="2"/>
  <c r="A356" i="2" s="1"/>
  <c r="A355" i="2"/>
  <c r="B348" i="2"/>
  <c r="A347" i="2"/>
  <c r="B308" i="2"/>
  <c r="A308" i="2" s="1"/>
  <c r="A307" i="2"/>
  <c r="B303" i="2"/>
  <c r="A303" i="2" s="1"/>
  <c r="A302" i="2"/>
  <c r="B270" i="2"/>
  <c r="B271" i="2" s="1"/>
  <c r="A271" i="2" s="1"/>
  <c r="A269" i="2"/>
  <c r="B262" i="2"/>
  <c r="A261" i="2"/>
  <c r="B236" i="2"/>
  <c r="B237" i="2" s="1"/>
  <c r="A237" i="2" s="1"/>
  <c r="A235" i="2"/>
  <c r="B223" i="2"/>
  <c r="B224" i="2" s="1"/>
  <c r="A224" i="2" s="1"/>
  <c r="A222" i="2"/>
  <c r="B214" i="2"/>
  <c r="B215" i="2" s="1"/>
  <c r="A213" i="2"/>
  <c r="G50" i="2"/>
  <c r="G54" i="2" s="1"/>
  <c r="Q130" i="3"/>
  <c r="I119" i="1"/>
  <c r="I118" i="1"/>
  <c r="I117" i="1"/>
  <c r="I114" i="1"/>
  <c r="I102" i="1"/>
  <c r="I101" i="1"/>
  <c r="B61" i="6"/>
  <c r="D61" i="6"/>
  <c r="S698" i="9" l="1"/>
  <c r="P698" i="9" s="1"/>
  <c r="D699" i="9"/>
  <c r="B263" i="2"/>
  <c r="B267" i="2" s="1"/>
  <c r="A267" i="2" s="1"/>
  <c r="B266" i="2"/>
  <c r="A266" i="2" s="1"/>
  <c r="I105" i="1"/>
  <c r="B116" i="6" s="1"/>
  <c r="Y150" i="3"/>
  <c r="D5" i="102"/>
  <c r="H61" i="2"/>
  <c r="I61" i="2"/>
  <c r="G61" i="2"/>
  <c r="G65" i="2" s="1"/>
  <c r="I275" i="1"/>
  <c r="I289" i="1" s="1"/>
  <c r="A262" i="2"/>
  <c r="D743" i="9"/>
  <c r="S742" i="9"/>
  <c r="P742" i="9" s="1"/>
  <c r="D611" i="9"/>
  <c r="S610" i="9"/>
  <c r="P610" i="9" s="1"/>
  <c r="I277" i="1"/>
  <c r="I122" i="1"/>
  <c r="D362" i="9"/>
  <c r="S362" i="9" s="1"/>
  <c r="Q362" i="9" s="1"/>
  <c r="D393" i="9"/>
  <c r="S393" i="9" s="1"/>
  <c r="Q393" i="9" s="1"/>
  <c r="B225" i="2"/>
  <c r="B226" i="2" s="1"/>
  <c r="B357" i="2"/>
  <c r="B358" i="2" s="1"/>
  <c r="A358" i="2" s="1"/>
  <c r="B304" i="2"/>
  <c r="B305" i="2" s="1"/>
  <c r="B309" i="2"/>
  <c r="A223" i="2"/>
  <c r="A214" i="2"/>
  <c r="B406" i="2"/>
  <c r="B216" i="2"/>
  <c r="A215" i="2"/>
  <c r="B238" i="2"/>
  <c r="B272" i="2"/>
  <c r="B379" i="2"/>
  <c r="A378" i="2"/>
  <c r="A236" i="2"/>
  <c r="A270" i="2"/>
  <c r="A348" i="2"/>
  <c r="B349" i="2"/>
  <c r="D116" i="6"/>
  <c r="D700" i="9" l="1"/>
  <c r="S699" i="9"/>
  <c r="P699" i="9" s="1"/>
  <c r="A263" i="2"/>
  <c r="B264" i="2"/>
  <c r="A264" i="2" s="1"/>
  <c r="I63" i="2"/>
  <c r="I65" i="2"/>
  <c r="H63" i="2"/>
  <c r="H65" i="2"/>
  <c r="A304" i="2"/>
  <c r="I291" i="1"/>
  <c r="I293" i="1"/>
  <c r="M293" i="1" s="1"/>
  <c r="J61" i="2"/>
  <c r="G63" i="2"/>
  <c r="A225" i="2"/>
  <c r="A357" i="2"/>
  <c r="D612" i="9"/>
  <c r="S611" i="9"/>
  <c r="P611" i="9" s="1"/>
  <c r="D744" i="9"/>
  <c r="S743" i="9"/>
  <c r="P743" i="9" s="1"/>
  <c r="B359" i="2"/>
  <c r="B360" i="2" s="1"/>
  <c r="A360" i="2" s="1"/>
  <c r="D394" i="9"/>
  <c r="S394" i="9" s="1"/>
  <c r="Q394" i="9" s="1"/>
  <c r="D363" i="9"/>
  <c r="S363" i="9" s="1"/>
  <c r="Q363" i="9" s="1"/>
  <c r="B310" i="2"/>
  <c r="A309" i="2"/>
  <c r="G134" i="2"/>
  <c r="G179" i="2" s="1"/>
  <c r="G94" i="2"/>
  <c r="G126" i="2" s="1"/>
  <c r="D15" i="2"/>
  <c r="G46" i="2"/>
  <c r="B407" i="2"/>
  <c r="A406" i="2"/>
  <c r="B380" i="2"/>
  <c r="A379" i="2"/>
  <c r="A305" i="2"/>
  <c r="B306" i="2"/>
  <c r="A306" i="2" s="1"/>
  <c r="A349" i="2"/>
  <c r="B350" i="2"/>
  <c r="B273" i="2"/>
  <c r="A272" i="2"/>
  <c r="A226" i="2"/>
  <c r="B227" i="2"/>
  <c r="B239" i="2"/>
  <c r="A238" i="2"/>
  <c r="B217" i="2"/>
  <c r="A216" i="2"/>
  <c r="V58" i="2"/>
  <c r="V51" i="2"/>
  <c r="V136" i="2"/>
  <c r="V142" i="2"/>
  <c r="V57" i="2"/>
  <c r="V55" i="2"/>
  <c r="V145" i="2"/>
  <c r="V140" i="2"/>
  <c r="V47" i="2"/>
  <c r="V53" i="2"/>
  <c r="V151" i="2"/>
  <c r="V59" i="2"/>
  <c r="V56" i="2"/>
  <c r="V62" i="2"/>
  <c r="V141" i="2"/>
  <c r="V46" i="2"/>
  <c r="V137" i="2"/>
  <c r="V138" i="2"/>
  <c r="V150" i="2"/>
  <c r="V61" i="2"/>
  <c r="V146" i="2"/>
  <c r="V147" i="2"/>
  <c r="V52" i="2"/>
  <c r="V144" i="2"/>
  <c r="V143" i="2"/>
  <c r="V50" i="2"/>
  <c r="V96" i="2"/>
  <c r="V139" i="2"/>
  <c r="V54" i="2"/>
  <c r="V49" i="2"/>
  <c r="V48" i="2"/>
  <c r="D701" i="9" l="1"/>
  <c r="S700" i="9"/>
  <c r="P700" i="9" s="1"/>
  <c r="B265" i="2"/>
  <c r="A265" i="2" s="1"/>
  <c r="J63" i="2"/>
  <c r="G90" i="2" s="1"/>
  <c r="D34" i="2" s="1"/>
  <c r="J65" i="2"/>
  <c r="I294" i="1"/>
  <c r="G32" i="2"/>
  <c r="B361" i="2"/>
  <c r="A359" i="2"/>
  <c r="D613" i="9"/>
  <c r="S612" i="9"/>
  <c r="P612" i="9" s="1"/>
  <c r="D745" i="9"/>
  <c r="S744" i="9"/>
  <c r="P744" i="9" s="1"/>
  <c r="M291" i="1"/>
  <c r="D364" i="9"/>
  <c r="S364" i="9" s="1"/>
  <c r="Q364" i="9" s="1"/>
  <c r="D395" i="9"/>
  <c r="S395" i="9" s="1"/>
  <c r="Q395" i="9" s="1"/>
  <c r="J30" i="2"/>
  <c r="G128" i="2"/>
  <c r="J34" i="2" s="1"/>
  <c r="G127" i="2"/>
  <c r="A310" i="2"/>
  <c r="B311" i="2"/>
  <c r="G89" i="2"/>
  <c r="G88" i="2"/>
  <c r="D30" i="2" s="1"/>
  <c r="G45" i="2"/>
  <c r="A407" i="2"/>
  <c r="B408" i="2"/>
  <c r="A350" i="2"/>
  <c r="B351" i="2"/>
  <c r="A239" i="2"/>
  <c r="B240" i="2"/>
  <c r="B381" i="2"/>
  <c r="A380" i="2"/>
  <c r="A227" i="2"/>
  <c r="B228" i="2"/>
  <c r="B218" i="2"/>
  <c r="A217" i="2"/>
  <c r="A273" i="2"/>
  <c r="B274" i="2"/>
  <c r="D702" i="9" l="1"/>
  <c r="S701" i="9"/>
  <c r="P701" i="9" s="1"/>
  <c r="B268" i="2"/>
  <c r="A268" i="2" s="1"/>
  <c r="D32" i="2"/>
  <c r="J32" i="2"/>
  <c r="B362" i="2"/>
  <c r="A361" i="2"/>
  <c r="D614" i="9"/>
  <c r="S613" i="9"/>
  <c r="P613" i="9" s="1"/>
  <c r="D746" i="9"/>
  <c r="S745" i="9"/>
  <c r="P745" i="9" s="1"/>
  <c r="M294" i="1"/>
  <c r="D396" i="9"/>
  <c r="S396" i="9" s="1"/>
  <c r="Q396" i="9" s="1"/>
  <c r="D365" i="9"/>
  <c r="S365" i="9" s="1"/>
  <c r="Q365" i="9" s="1"/>
  <c r="A311" i="2"/>
  <c r="B312" i="2"/>
  <c r="B409" i="2"/>
  <c r="A408" i="2"/>
  <c r="B241" i="2"/>
  <c r="A240" i="2"/>
  <c r="B275" i="2"/>
  <c r="A274" i="2"/>
  <c r="B352" i="2"/>
  <c r="A351" i="2"/>
  <c r="A228" i="2"/>
  <c r="B229" i="2"/>
  <c r="B219" i="2"/>
  <c r="A218" i="2"/>
  <c r="A381" i="2"/>
  <c r="B382" i="2"/>
  <c r="D703" i="9" l="1"/>
  <c r="S703" i="9" s="1"/>
  <c r="P703" i="9" s="1"/>
  <c r="S702" i="9"/>
  <c r="P702" i="9" s="1"/>
  <c r="G38" i="2"/>
  <c r="A362" i="2"/>
  <c r="B363" i="2"/>
  <c r="D615" i="9"/>
  <c r="S614" i="9"/>
  <c r="P614" i="9" s="1"/>
  <c r="D747" i="9"/>
  <c r="S746" i="9"/>
  <c r="P746" i="9" s="1"/>
  <c r="D366" i="9"/>
  <c r="S366" i="9" s="1"/>
  <c r="Q366" i="9" s="1"/>
  <c r="D397" i="9"/>
  <c r="S397" i="9" s="1"/>
  <c r="Q397" i="9" s="1"/>
  <c r="A312" i="2"/>
  <c r="B313" i="2"/>
  <c r="A409" i="2"/>
  <c r="B410" i="2"/>
  <c r="B383" i="2"/>
  <c r="A382" i="2"/>
  <c r="A275" i="2"/>
  <c r="B276" i="2"/>
  <c r="A229" i="2"/>
  <c r="B230" i="2"/>
  <c r="A241" i="2"/>
  <c r="B242" i="2"/>
  <c r="B220" i="2"/>
  <c r="A219" i="2"/>
  <c r="A352" i="2"/>
  <c r="B353" i="2"/>
  <c r="W38" i="2" l="1"/>
  <c r="P38" i="2"/>
  <c r="B364" i="2"/>
  <c r="A363" i="2"/>
  <c r="D748" i="9"/>
  <c r="S747" i="9"/>
  <c r="P747" i="9" s="1"/>
  <c r="D616" i="9"/>
  <c r="S615" i="9"/>
  <c r="P615" i="9" s="1"/>
  <c r="D398" i="9"/>
  <c r="S398" i="9" s="1"/>
  <c r="Q398" i="9" s="1"/>
  <c r="D367" i="9"/>
  <c r="S367" i="9" s="1"/>
  <c r="Q367" i="9" s="1"/>
  <c r="B314" i="2"/>
  <c r="A313" i="2"/>
  <c r="B411" i="2"/>
  <c r="V20" i="2" s="1"/>
  <c r="A410" i="2"/>
  <c r="A230" i="2"/>
  <c r="B231" i="2"/>
  <c r="A353" i="2"/>
  <c r="B354" i="2"/>
  <c r="A354" i="2" s="1"/>
  <c r="B243" i="2"/>
  <c r="A242" i="2"/>
  <c r="B277" i="2"/>
  <c r="A276" i="2"/>
  <c r="B221" i="2"/>
  <c r="A221" i="2" s="1"/>
  <c r="A220" i="2"/>
  <c r="B384" i="2"/>
  <c r="A383" i="2"/>
  <c r="A364" i="2" l="1"/>
  <c r="B365" i="2"/>
  <c r="D749" i="9"/>
  <c r="S748" i="9"/>
  <c r="P748" i="9" s="1"/>
  <c r="D617" i="9"/>
  <c r="S616" i="9"/>
  <c r="P616" i="9" s="1"/>
  <c r="D368" i="9"/>
  <c r="S368" i="9" s="1"/>
  <c r="Q368" i="9" s="1"/>
  <c r="D399" i="9"/>
  <c r="S399" i="9" s="1"/>
  <c r="Q399" i="9" s="1"/>
  <c r="A314" i="2"/>
  <c r="B315" i="2"/>
  <c r="A411" i="2"/>
  <c r="V21" i="2"/>
  <c r="A231" i="2"/>
  <c r="B232" i="2"/>
  <c r="B385" i="2"/>
  <c r="A384" i="2"/>
  <c r="A277" i="2"/>
  <c r="B278" i="2"/>
  <c r="A243" i="2"/>
  <c r="B244" i="2"/>
  <c r="B366" i="2" l="1"/>
  <c r="A365" i="2"/>
  <c r="D618" i="9"/>
  <c r="S617" i="9"/>
  <c r="P617" i="9" s="1"/>
  <c r="D750" i="9"/>
  <c r="S750" i="9" s="1"/>
  <c r="P750" i="9" s="1"/>
  <c r="S749" i="9"/>
  <c r="P749" i="9" s="1"/>
  <c r="D400" i="9"/>
  <c r="S400" i="9" s="1"/>
  <c r="Q400" i="9" s="1"/>
  <c r="D369" i="9"/>
  <c r="S369" i="9" s="1"/>
  <c r="Q369" i="9" s="1"/>
  <c r="B316" i="2"/>
  <c r="A315" i="2"/>
  <c r="B279" i="2"/>
  <c r="A278" i="2"/>
  <c r="A232" i="2"/>
  <c r="B233" i="2"/>
  <c r="B245" i="2"/>
  <c r="A244" i="2"/>
  <c r="A385" i="2"/>
  <c r="B386" i="2"/>
  <c r="B367" i="2" l="1"/>
  <c r="A366" i="2"/>
  <c r="D619" i="9"/>
  <c r="S618" i="9"/>
  <c r="P618" i="9" s="1"/>
  <c r="D370" i="9"/>
  <c r="S370" i="9" s="1"/>
  <c r="Q370" i="9" s="1"/>
  <c r="D401" i="9"/>
  <c r="S401" i="9" s="1"/>
  <c r="Q401" i="9" s="1"/>
  <c r="A316" i="2"/>
  <c r="B317" i="2"/>
  <c r="A233" i="2"/>
  <c r="B234" i="2"/>
  <c r="A234" i="2" s="1"/>
  <c r="B387" i="2"/>
  <c r="A386" i="2"/>
  <c r="A279" i="2"/>
  <c r="B280" i="2"/>
  <c r="A245" i="2"/>
  <c r="B246" i="2"/>
  <c r="B368" i="2" l="1"/>
  <c r="A367" i="2"/>
  <c r="D620" i="9"/>
  <c r="S619" i="9"/>
  <c r="P619" i="9" s="1"/>
  <c r="D402" i="9"/>
  <c r="S402" i="9" s="1"/>
  <c r="Q402" i="9" s="1"/>
  <c r="B318" i="2"/>
  <c r="A317" i="2"/>
  <c r="B247" i="2"/>
  <c r="A246" i="2"/>
  <c r="B281" i="2"/>
  <c r="A280" i="2"/>
  <c r="B388" i="2"/>
  <c r="A387" i="2"/>
  <c r="A368" i="2" l="1"/>
  <c r="B369" i="2"/>
  <c r="D621" i="9"/>
  <c r="S620" i="9"/>
  <c r="P620" i="9" s="1"/>
  <c r="D404" i="9"/>
  <c r="S404" i="9" s="1"/>
  <c r="Q404" i="9" s="1"/>
  <c r="A318" i="2"/>
  <c r="B319" i="2"/>
  <c r="B389" i="2"/>
  <c r="A388" i="2"/>
  <c r="A247" i="2"/>
  <c r="B248" i="2"/>
  <c r="A281" i="2"/>
  <c r="B282" i="2"/>
  <c r="B370" i="2" l="1"/>
  <c r="A369" i="2"/>
  <c r="D622" i="9"/>
  <c r="S621" i="9"/>
  <c r="P621" i="9" s="1"/>
  <c r="D405" i="9"/>
  <c r="S405" i="9" s="1"/>
  <c r="Q405" i="9" s="1"/>
  <c r="B320" i="2"/>
  <c r="A319" i="2"/>
  <c r="B249" i="2"/>
  <c r="A248" i="2"/>
  <c r="B283" i="2"/>
  <c r="A282" i="2"/>
  <c r="B390" i="2"/>
  <c r="A389" i="2"/>
  <c r="B371" i="2" l="1"/>
  <c r="A370" i="2"/>
  <c r="D623" i="9"/>
  <c r="S622" i="9"/>
  <c r="P622" i="9" s="1"/>
  <c r="D406" i="9"/>
  <c r="S406" i="9" s="1"/>
  <c r="Q406" i="9" s="1"/>
  <c r="A320" i="2"/>
  <c r="B321" i="2"/>
  <c r="A249" i="2"/>
  <c r="B250" i="2"/>
  <c r="B391" i="2"/>
  <c r="A390" i="2"/>
  <c r="A283" i="2"/>
  <c r="B284" i="2"/>
  <c r="A371" i="2" l="1"/>
  <c r="B372" i="2"/>
  <c r="D624" i="9"/>
  <c r="S623" i="9"/>
  <c r="P623" i="9" s="1"/>
  <c r="D407" i="9"/>
  <c r="S407" i="9" s="1"/>
  <c r="Q407" i="9" s="1"/>
  <c r="B322" i="2"/>
  <c r="A321" i="2"/>
  <c r="B285" i="2"/>
  <c r="A284" i="2"/>
  <c r="B251" i="2"/>
  <c r="A250" i="2"/>
  <c r="B392" i="2"/>
  <c r="A391" i="2"/>
  <c r="A372" i="2" l="1"/>
  <c r="B373" i="2"/>
  <c r="D625" i="9"/>
  <c r="S624" i="9"/>
  <c r="P624" i="9" s="1"/>
  <c r="D408" i="9"/>
  <c r="S408" i="9" s="1"/>
  <c r="Q408" i="9" s="1"/>
  <c r="A322" i="2"/>
  <c r="B323" i="2"/>
  <c r="B393" i="2"/>
  <c r="A392" i="2"/>
  <c r="A285" i="2"/>
  <c r="B286" i="2"/>
  <c r="A251" i="2"/>
  <c r="B252" i="2"/>
  <c r="A373" i="2" l="1"/>
  <c r="B374" i="2"/>
  <c r="D626" i="9"/>
  <c r="S625" i="9"/>
  <c r="P625" i="9" s="1"/>
  <c r="D409" i="9"/>
  <c r="S409" i="9" s="1"/>
  <c r="Q409" i="9" s="1"/>
  <c r="A323" i="2"/>
  <c r="B324" i="2"/>
  <c r="B253" i="2"/>
  <c r="A252" i="2"/>
  <c r="B287" i="2"/>
  <c r="A286" i="2"/>
  <c r="A393" i="2"/>
  <c r="B394" i="2"/>
  <c r="B375" i="2" l="1"/>
  <c r="A374" i="2"/>
  <c r="D627" i="9"/>
  <c r="S626" i="9"/>
  <c r="P626" i="9" s="1"/>
  <c r="D410" i="9"/>
  <c r="S410" i="9" s="1"/>
  <c r="Q410" i="9" s="1"/>
  <c r="A324" i="2"/>
  <c r="B325" i="2"/>
  <c r="B395" i="2"/>
  <c r="A394" i="2"/>
  <c r="A287" i="2"/>
  <c r="B288" i="2"/>
  <c r="A253" i="2"/>
  <c r="B254" i="2"/>
  <c r="B376" i="2" l="1"/>
  <c r="A376" i="2" s="1"/>
  <c r="A375" i="2"/>
  <c r="D628" i="9"/>
  <c r="S627" i="9"/>
  <c r="P627" i="9" s="1"/>
  <c r="D411" i="9"/>
  <c r="S411" i="9" s="1"/>
  <c r="Q411" i="9" s="1"/>
  <c r="B326" i="2"/>
  <c r="A325" i="2"/>
  <c r="B396" i="2"/>
  <c r="A395" i="2"/>
  <c r="B255" i="2"/>
  <c r="A254" i="2"/>
  <c r="B289" i="2"/>
  <c r="A288" i="2"/>
  <c r="D629" i="9" l="1"/>
  <c r="S628" i="9"/>
  <c r="P628" i="9" s="1"/>
  <c r="D412" i="9"/>
  <c r="S412" i="9" s="1"/>
  <c r="Q412" i="9" s="1"/>
  <c r="A326" i="2"/>
  <c r="B327" i="2"/>
  <c r="A289" i="2"/>
  <c r="B290" i="2"/>
  <c r="B397" i="2"/>
  <c r="A396" i="2"/>
  <c r="A255" i="2"/>
  <c r="B256" i="2"/>
  <c r="D630" i="9" l="1"/>
  <c r="S630" i="9" s="1"/>
  <c r="P630" i="9" s="1"/>
  <c r="S629" i="9"/>
  <c r="P629" i="9" s="1"/>
  <c r="B328" i="2"/>
  <c r="A327" i="2"/>
  <c r="B398" i="2"/>
  <c r="A397" i="2"/>
  <c r="B257" i="2"/>
  <c r="A256" i="2"/>
  <c r="B291" i="2"/>
  <c r="A290" i="2"/>
  <c r="A328" i="2" l="1"/>
  <c r="B329" i="2"/>
  <c r="A291" i="2"/>
  <c r="B292" i="2"/>
  <c r="B399" i="2"/>
  <c r="A398" i="2"/>
  <c r="A257" i="2"/>
  <c r="B258" i="2"/>
  <c r="B260" i="2" s="1"/>
  <c r="A260" i="2" s="1"/>
  <c r="B330" i="2" l="1"/>
  <c r="A329" i="2"/>
  <c r="B400" i="2"/>
  <c r="A399" i="2"/>
  <c r="B259" i="2"/>
  <c r="A259" i="2" s="1"/>
  <c r="A258" i="2"/>
  <c r="B293" i="2"/>
  <c r="A292" i="2"/>
  <c r="A330" i="2" l="1"/>
  <c r="B331" i="2"/>
  <c r="A293" i="2"/>
  <c r="B294" i="2"/>
  <c r="B401" i="2"/>
  <c r="A400" i="2"/>
  <c r="B332" i="2" l="1"/>
  <c r="A331" i="2"/>
  <c r="A401" i="2"/>
  <c r="B402" i="2"/>
  <c r="B295" i="2"/>
  <c r="A294" i="2"/>
  <c r="A332" i="2" l="1"/>
  <c r="B333" i="2"/>
  <c r="B403" i="2"/>
  <c r="A402" i="2"/>
  <c r="A295" i="2"/>
  <c r="B296" i="2"/>
  <c r="V22" i="2" l="1"/>
  <c r="B334" i="2"/>
  <c r="A333" i="2"/>
  <c r="A403" i="2"/>
  <c r="V23" i="2"/>
  <c r="V24" i="2"/>
  <c r="B297" i="2"/>
  <c r="A296" i="2"/>
  <c r="A334" i="2" l="1"/>
  <c r="B335" i="2"/>
  <c r="A297" i="2"/>
  <c r="B298" i="2"/>
  <c r="B336" i="2" l="1"/>
  <c r="A335" i="2"/>
  <c r="B299" i="2"/>
  <c r="A298" i="2"/>
  <c r="A336" i="2" l="1"/>
  <c r="B337" i="2"/>
  <c r="A299" i="2"/>
  <c r="B300" i="2"/>
  <c r="B338" i="2" l="1"/>
  <c r="A337" i="2"/>
  <c r="B301" i="2"/>
  <c r="A301" i="2" s="1"/>
  <c r="A300" i="2"/>
  <c r="V25" i="2" l="1"/>
  <c r="A338" i="2"/>
  <c r="B339" i="2"/>
  <c r="B340" i="2" l="1"/>
  <c r="A339" i="2"/>
  <c r="B341" i="2" l="1"/>
  <c r="A340" i="2"/>
  <c r="V26" i="2" s="1"/>
  <c r="V31" i="2" s="1"/>
  <c r="B342" i="2" l="1"/>
  <c r="A341" i="2"/>
  <c r="A342" i="2" l="1"/>
  <c r="B343" i="2"/>
  <c r="B345" i="2" s="1"/>
  <c r="A345" i="2" s="1"/>
  <c r="B344" i="2" l="1"/>
  <c r="A343" i="2"/>
  <c r="A344" i="2" l="1"/>
  <c r="B346" i="2"/>
  <c r="D52" i="6"/>
  <c r="D37" i="6"/>
  <c r="D35" i="6"/>
  <c r="K155" i="6"/>
  <c r="E56" i="1"/>
  <c r="D138" i="1" s="1"/>
  <c r="E57" i="1"/>
  <c r="D139" i="1" s="1"/>
  <c r="E58" i="1"/>
  <c r="E55" i="1"/>
  <c r="D137" i="1" s="1"/>
  <c r="C55" i="1"/>
  <c r="D199" i="6"/>
  <c r="D26" i="6"/>
  <c r="D46" i="6"/>
  <c r="D136" i="6"/>
  <c r="D45" i="6"/>
  <c r="D53" i="6"/>
  <c r="D42" i="6"/>
  <c r="D20" i="6"/>
  <c r="D43" i="6"/>
  <c r="D41" i="6"/>
  <c r="D32" i="6"/>
  <c r="D128" i="6"/>
  <c r="D34" i="6"/>
  <c r="D24" i="6"/>
  <c r="D127" i="6"/>
  <c r="D16" i="6"/>
  <c r="D40" i="6"/>
  <c r="D135" i="6"/>
  <c r="D36" i="6"/>
  <c r="D44" i="6"/>
  <c r="D22" i="6"/>
  <c r="D19" i="6"/>
  <c r="D38" i="6"/>
  <c r="D25" i="6"/>
  <c r="D126" i="6"/>
  <c r="D54" i="6"/>
  <c r="D134" i="6"/>
  <c r="D57" i="6"/>
  <c r="D123" i="6" l="1"/>
  <c r="D143" i="6"/>
  <c r="D58" i="6"/>
  <c r="D59" i="6" l="1"/>
  <c r="D15" i="6"/>
  <c r="D55" i="6"/>
  <c r="D140" i="1"/>
  <c r="A346" i="2"/>
  <c r="K55" i="6"/>
  <c r="K15" i="6"/>
  <c r="V29" i="2" l="1"/>
  <c r="V28" i="2"/>
  <c r="V27" i="2"/>
  <c r="K3" i="1"/>
  <c r="K2" i="1"/>
  <c r="N92" i="2" l="1"/>
  <c r="N4" i="2" l="1"/>
  <c r="M4" i="2"/>
  <c r="F5" i="2"/>
  <c r="K201" i="1"/>
  <c r="R91" i="3"/>
  <c r="L19" i="1"/>
  <c r="L20" i="1"/>
  <c r="L21" i="1"/>
  <c r="L22" i="1"/>
  <c r="L23" i="1"/>
  <c r="L24" i="1"/>
  <c r="L25" i="1"/>
  <c r="L26" i="1"/>
  <c r="L27" i="1"/>
  <c r="L28" i="1"/>
  <c r="L29" i="1"/>
  <c r="L18" i="1"/>
  <c r="R4" i="3"/>
  <c r="AA215" i="1" l="1"/>
  <c r="AA216" i="1"/>
  <c r="AA214" i="1"/>
  <c r="K208" i="1"/>
  <c r="K124" i="1"/>
  <c r="K109" i="1"/>
  <c r="K174" i="1"/>
  <c r="K189" i="1"/>
  <c r="K178" i="1"/>
  <c r="C164" i="1"/>
  <c r="D164" i="1"/>
  <c r="E164" i="1"/>
  <c r="C165" i="1"/>
  <c r="D165" i="1"/>
  <c r="E165" i="1"/>
  <c r="C166" i="1"/>
  <c r="D166" i="1"/>
  <c r="E166" i="1"/>
  <c r="D167" i="1"/>
  <c r="E167" i="1"/>
  <c r="C168" i="1"/>
  <c r="D168" i="1"/>
  <c r="E168" i="1"/>
  <c r="C169" i="1"/>
  <c r="D169" i="1"/>
  <c r="E169" i="1"/>
  <c r="C170" i="1"/>
  <c r="D170" i="1"/>
  <c r="E170" i="1"/>
  <c r="C163" i="1"/>
  <c r="D163" i="1"/>
  <c r="E163" i="1"/>
  <c r="D162" i="1"/>
  <c r="E162" i="1"/>
  <c r="E161" i="1"/>
  <c r="D161" i="1"/>
  <c r="C150" i="1"/>
  <c r="D150" i="1"/>
  <c r="E150" i="1"/>
  <c r="C151" i="1"/>
  <c r="D151" i="1"/>
  <c r="E151" i="1"/>
  <c r="C152" i="1"/>
  <c r="D152" i="1"/>
  <c r="E152" i="1"/>
  <c r="C153" i="1"/>
  <c r="D153" i="1"/>
  <c r="E153" i="1"/>
  <c r="C154" i="1"/>
  <c r="D154" i="1"/>
  <c r="E154" i="1"/>
  <c r="C155" i="1"/>
  <c r="D155" i="1"/>
  <c r="E155" i="1"/>
  <c r="C156" i="1"/>
  <c r="D156" i="1"/>
  <c r="E156" i="1"/>
  <c r="C157" i="1"/>
  <c r="D157" i="1"/>
  <c r="E157" i="1"/>
  <c r="C158" i="1"/>
  <c r="D158" i="1"/>
  <c r="E158" i="1"/>
  <c r="C159" i="1"/>
  <c r="D159" i="1"/>
  <c r="E159" i="1"/>
  <c r="C160" i="1"/>
  <c r="D160" i="1"/>
  <c r="E160" i="1"/>
  <c r="E149" i="1"/>
  <c r="D149" i="1"/>
  <c r="C149" i="1"/>
  <c r="K146" i="1"/>
  <c r="B164" i="1"/>
  <c r="B165" i="1"/>
  <c r="B166" i="1"/>
  <c r="B167" i="1"/>
  <c r="B168" i="1"/>
  <c r="B169" i="1"/>
  <c r="B170" i="1"/>
  <c r="B163" i="1"/>
  <c r="B162" i="1"/>
  <c r="B161" i="1"/>
  <c r="B150" i="1"/>
  <c r="B151" i="1"/>
  <c r="B152" i="1"/>
  <c r="B153" i="1"/>
  <c r="B154" i="1"/>
  <c r="B155" i="1"/>
  <c r="B156" i="1"/>
  <c r="B157" i="1"/>
  <c r="B158" i="1"/>
  <c r="B159" i="1"/>
  <c r="B160" i="1"/>
  <c r="B149" i="1"/>
  <c r="B138" i="1"/>
  <c r="B139" i="1"/>
  <c r="B137" i="1"/>
  <c r="B132" i="1"/>
  <c r="B133" i="1"/>
  <c r="B134" i="1"/>
  <c r="B135" i="1"/>
  <c r="B136" i="1"/>
  <c r="B131" i="1"/>
  <c r="D131" i="1"/>
  <c r="E132" i="1"/>
  <c r="E133" i="1"/>
  <c r="E134" i="1"/>
  <c r="E135" i="1"/>
  <c r="E136" i="1"/>
  <c r="E131" i="1"/>
  <c r="D132" i="1"/>
  <c r="D133" i="1"/>
  <c r="D134" i="1"/>
  <c r="D135" i="1"/>
  <c r="D136" i="1"/>
  <c r="C56" i="1"/>
  <c r="C138" i="1" s="1"/>
  <c r="C57" i="1"/>
  <c r="C139" i="1" s="1"/>
  <c r="C58" i="1"/>
  <c r="C137" i="1"/>
  <c r="C41" i="1"/>
  <c r="C40" i="1"/>
  <c r="C35" i="1"/>
  <c r="C37" i="1"/>
  <c r="H62" i="1"/>
  <c r="I62" i="1" s="1"/>
  <c r="H19" i="1"/>
  <c r="H20" i="1" s="1"/>
  <c r="H21" i="1" s="1"/>
  <c r="H22" i="1" s="1"/>
  <c r="H23" i="1" s="1"/>
  <c r="H24" i="1" s="1"/>
  <c r="H25" i="1" s="1"/>
  <c r="H26" i="1" s="1"/>
  <c r="H27" i="1" s="1"/>
  <c r="H28" i="1" s="1"/>
  <c r="H29" i="1" s="1"/>
  <c r="H32" i="1" s="1"/>
  <c r="N65" i="6" a="1"/>
  <c r="H135" i="110" l="1"/>
  <c r="H138" i="110"/>
  <c r="H133" i="110"/>
  <c r="H137" i="110"/>
  <c r="G137" i="110"/>
  <c r="H136" i="110"/>
  <c r="G136" i="110"/>
  <c r="G134" i="110"/>
  <c r="H139" i="110"/>
  <c r="G139" i="110"/>
  <c r="G138" i="110"/>
  <c r="H134" i="110"/>
  <c r="G135" i="110"/>
  <c r="G133" i="110"/>
  <c r="Y132" i="3"/>
  <c r="D210" i="1"/>
  <c r="P170" i="1"/>
  <c r="T170" i="1"/>
  <c r="X170" i="1"/>
  <c r="N170" i="1"/>
  <c r="V170" i="1"/>
  <c r="S170" i="1"/>
  <c r="M170" i="1"/>
  <c r="Q170" i="1"/>
  <c r="U170" i="1"/>
  <c r="R170" i="1"/>
  <c r="O170" i="1"/>
  <c r="W170" i="1"/>
  <c r="P169" i="1"/>
  <c r="T169" i="1"/>
  <c r="X169" i="1"/>
  <c r="R169" i="1"/>
  <c r="O169" i="1"/>
  <c r="W169" i="1"/>
  <c r="M169" i="1"/>
  <c r="Q169" i="1"/>
  <c r="U169" i="1"/>
  <c r="N169" i="1"/>
  <c r="V169" i="1"/>
  <c r="S169" i="1"/>
  <c r="P168" i="1"/>
  <c r="T168" i="1"/>
  <c r="X168" i="1"/>
  <c r="N168" i="1"/>
  <c r="V168" i="1"/>
  <c r="S168" i="1"/>
  <c r="M168" i="1"/>
  <c r="Q168" i="1"/>
  <c r="U168" i="1"/>
  <c r="R168" i="1"/>
  <c r="O168" i="1"/>
  <c r="W168" i="1"/>
  <c r="M139" i="1"/>
  <c r="V139" i="1"/>
  <c r="R139" i="1"/>
  <c r="U139" i="1"/>
  <c r="P139" i="1"/>
  <c r="Q139" i="1"/>
  <c r="S139" i="1"/>
  <c r="N139" i="1"/>
  <c r="O139" i="1"/>
  <c r="X139" i="1"/>
  <c r="W139" i="1"/>
  <c r="T139" i="1"/>
  <c r="M138" i="1"/>
  <c r="T138" i="1"/>
  <c r="R138" i="1"/>
  <c r="P138" i="1"/>
  <c r="O138" i="1"/>
  <c r="U138" i="1"/>
  <c r="W138" i="1"/>
  <c r="N138" i="1"/>
  <c r="V138" i="1"/>
  <c r="S138" i="1"/>
  <c r="X138" i="1"/>
  <c r="Q138" i="1"/>
  <c r="M137" i="1"/>
  <c r="O137" i="1"/>
  <c r="V137" i="1"/>
  <c r="T137" i="1"/>
  <c r="U137" i="1"/>
  <c r="W137" i="1"/>
  <c r="R137" i="1"/>
  <c r="X137" i="1"/>
  <c r="P137" i="1"/>
  <c r="N137" i="1"/>
  <c r="Q137" i="1"/>
  <c r="S137" i="1"/>
  <c r="N65" i="6"/>
  <c r="B65" i="6" s="1"/>
  <c r="N81" i="6"/>
  <c r="T81" i="6" s="1"/>
  <c r="N97" i="6"/>
  <c r="T97" i="6" s="1"/>
  <c r="N113" i="6"/>
  <c r="T113" i="6" s="1"/>
  <c r="N99" i="6"/>
  <c r="T99" i="6" s="1"/>
  <c r="N88" i="6"/>
  <c r="T88" i="6" s="1"/>
  <c r="N70" i="6"/>
  <c r="T70" i="6" s="1"/>
  <c r="N86" i="6"/>
  <c r="T86" i="6" s="1"/>
  <c r="N102" i="6"/>
  <c r="T102" i="6" s="1"/>
  <c r="N67" i="6"/>
  <c r="T67" i="6" s="1"/>
  <c r="N95" i="6"/>
  <c r="T95" i="6" s="1"/>
  <c r="N76" i="6"/>
  <c r="T76" i="6" s="1"/>
  <c r="N104" i="6"/>
  <c r="T104" i="6" s="1"/>
  <c r="N109" i="6"/>
  <c r="T109" i="6" s="1"/>
  <c r="N69" i="6"/>
  <c r="T69" i="6" s="1"/>
  <c r="N85" i="6"/>
  <c r="T85" i="6" s="1"/>
  <c r="N101" i="6"/>
  <c r="T101" i="6" s="1"/>
  <c r="N71" i="6"/>
  <c r="T71" i="6" s="1"/>
  <c r="N107" i="6"/>
  <c r="T107" i="6" s="1"/>
  <c r="N96" i="6"/>
  <c r="T96" i="6" s="1"/>
  <c r="N74" i="6"/>
  <c r="T74" i="6" s="1"/>
  <c r="N90" i="6"/>
  <c r="T90" i="6" s="1"/>
  <c r="N106" i="6"/>
  <c r="T106" i="6" s="1"/>
  <c r="N75" i="6"/>
  <c r="N103" i="6"/>
  <c r="T103" i="6" s="1"/>
  <c r="N84" i="6"/>
  <c r="T84" i="6" s="1"/>
  <c r="N112" i="6"/>
  <c r="T112" i="6" s="1"/>
  <c r="N93" i="6"/>
  <c r="T93" i="6" s="1"/>
  <c r="N82" i="6"/>
  <c r="T82" i="6" s="1"/>
  <c r="N114" i="6"/>
  <c r="T114" i="6" s="1"/>
  <c r="N68" i="6"/>
  <c r="T68" i="6" s="1"/>
  <c r="N73" i="6"/>
  <c r="T73" i="6" s="1"/>
  <c r="N89" i="6"/>
  <c r="T89" i="6" s="1"/>
  <c r="N105" i="6"/>
  <c r="T105" i="6" s="1"/>
  <c r="N83" i="6"/>
  <c r="T83" i="6" s="1"/>
  <c r="N72" i="6"/>
  <c r="T72" i="6" s="1"/>
  <c r="N108" i="6"/>
  <c r="T108" i="6" s="1"/>
  <c r="N78" i="6"/>
  <c r="T78" i="6" s="1"/>
  <c r="N94" i="6"/>
  <c r="T94" i="6" s="1"/>
  <c r="N110" i="6"/>
  <c r="T110" i="6" s="1"/>
  <c r="N79" i="6"/>
  <c r="T79" i="6" s="1"/>
  <c r="N111" i="6"/>
  <c r="T111" i="6" s="1"/>
  <c r="N92" i="6"/>
  <c r="T92" i="6" s="1"/>
  <c r="N77" i="6"/>
  <c r="T77" i="6" s="1"/>
  <c r="N91" i="6"/>
  <c r="T91" i="6" s="1"/>
  <c r="N80" i="6"/>
  <c r="T80" i="6" s="1"/>
  <c r="N66" i="6"/>
  <c r="T66" i="6" s="1"/>
  <c r="N98" i="6"/>
  <c r="T98" i="6" s="1"/>
  <c r="N87" i="6"/>
  <c r="T87" i="6" s="1"/>
  <c r="N100" i="6"/>
  <c r="T100" i="6" s="1"/>
  <c r="C140" i="1"/>
  <c r="C136" i="1"/>
  <c r="M136" i="1" s="1"/>
  <c r="C162" i="1"/>
  <c r="H162" i="1" s="1"/>
  <c r="AC87" i="1"/>
  <c r="AC84" i="1"/>
  <c r="AC83" i="1"/>
  <c r="AC85" i="1"/>
  <c r="AC86" i="1"/>
  <c r="C135" i="1"/>
  <c r="M135" i="1" s="1"/>
  <c r="C161" i="1"/>
  <c r="C134" i="1"/>
  <c r="C133" i="1"/>
  <c r="C131" i="1"/>
  <c r="C132" i="1"/>
  <c r="Q125" i="1"/>
  <c r="P176" i="1"/>
  <c r="M176" i="1"/>
  <c r="U176" i="1"/>
  <c r="Q176" i="1"/>
  <c r="W176" i="1"/>
  <c r="O176" i="1"/>
  <c r="S176" i="1"/>
  <c r="H150" i="1"/>
  <c r="V176" i="1"/>
  <c r="R176" i="1"/>
  <c r="N176" i="1"/>
  <c r="H163" i="1"/>
  <c r="X176" i="1"/>
  <c r="T176" i="1"/>
  <c r="H156" i="1"/>
  <c r="H152" i="1"/>
  <c r="H164" i="1"/>
  <c r="H155" i="1"/>
  <c r="G169" i="1"/>
  <c r="H160" i="1"/>
  <c r="H154" i="1"/>
  <c r="G168" i="1"/>
  <c r="H168" i="1"/>
  <c r="H158" i="1"/>
  <c r="H157" i="1"/>
  <c r="H153" i="1"/>
  <c r="G170" i="1"/>
  <c r="H166" i="1"/>
  <c r="H170" i="1"/>
  <c r="H151" i="1"/>
  <c r="H159" i="1"/>
  <c r="H169" i="1"/>
  <c r="H165" i="1"/>
  <c r="H149" i="1"/>
  <c r="H167" i="1"/>
  <c r="H63" i="1"/>
  <c r="H33" i="1"/>
  <c r="K128" i="1"/>
  <c r="K112" i="1"/>
  <c r="K14" i="1"/>
  <c r="K6" i="1"/>
  <c r="Y146" i="3" l="1"/>
  <c r="AA135" i="3"/>
  <c r="E135" i="3" s="1"/>
  <c r="AA134" i="3"/>
  <c r="E134" i="3" s="1"/>
  <c r="AA143" i="3"/>
  <c r="AA140" i="3"/>
  <c r="E140" i="3" s="1"/>
  <c r="E136" i="3" s="1"/>
  <c r="AA137" i="3"/>
  <c r="E137" i="3" s="1"/>
  <c r="C133" i="3"/>
  <c r="Y147" i="3" s="1"/>
  <c r="AA141" i="3"/>
  <c r="E141" i="3" s="1"/>
  <c r="E133" i="3"/>
  <c r="AA136" i="3"/>
  <c r="AA139" i="3"/>
  <c r="E139" i="3" s="1"/>
  <c r="AA138" i="3"/>
  <c r="E138" i="3" s="1"/>
  <c r="AA142" i="3"/>
  <c r="A132" i="3"/>
  <c r="Y148" i="3" s="1"/>
  <c r="D75" i="6"/>
  <c r="T75" i="6"/>
  <c r="T65" i="6"/>
  <c r="R65" i="6"/>
  <c r="P98" i="6"/>
  <c r="S98" i="6" s="1"/>
  <c r="R98" i="6"/>
  <c r="P77" i="6"/>
  <c r="S77" i="6" s="1"/>
  <c r="R77" i="6"/>
  <c r="P72" i="6"/>
  <c r="S72" i="6" s="1"/>
  <c r="R72" i="6"/>
  <c r="P93" i="6"/>
  <c r="S93" i="6" s="1"/>
  <c r="R93" i="6"/>
  <c r="P96" i="6"/>
  <c r="S96" i="6" s="1"/>
  <c r="R96" i="6"/>
  <c r="P76" i="6"/>
  <c r="S76" i="6" s="1"/>
  <c r="R76" i="6"/>
  <c r="P86" i="6"/>
  <c r="S86" i="6" s="1"/>
  <c r="R86" i="6"/>
  <c r="P113" i="6"/>
  <c r="S113" i="6" s="1"/>
  <c r="R113" i="6"/>
  <c r="P92" i="6"/>
  <c r="S92" i="6" s="1"/>
  <c r="R92" i="6"/>
  <c r="P83" i="6"/>
  <c r="S83" i="6" s="1"/>
  <c r="R83" i="6"/>
  <c r="P68" i="6"/>
  <c r="S68" i="6" s="1"/>
  <c r="R68" i="6"/>
  <c r="P106" i="6"/>
  <c r="S106" i="6" s="1"/>
  <c r="R106" i="6"/>
  <c r="P107" i="6"/>
  <c r="S107" i="6" s="1"/>
  <c r="R107" i="6"/>
  <c r="P95" i="6"/>
  <c r="S95" i="6" s="1"/>
  <c r="R95" i="6"/>
  <c r="P70" i="6"/>
  <c r="S70" i="6" s="1"/>
  <c r="R70" i="6"/>
  <c r="P97" i="6"/>
  <c r="S97" i="6" s="1"/>
  <c r="R97" i="6"/>
  <c r="P100" i="6"/>
  <c r="S100" i="6" s="1"/>
  <c r="R100" i="6"/>
  <c r="P80" i="6"/>
  <c r="S80" i="6" s="1"/>
  <c r="R80" i="6"/>
  <c r="P111" i="6"/>
  <c r="S111" i="6" s="1"/>
  <c r="R111" i="6"/>
  <c r="P78" i="6"/>
  <c r="S78" i="6" s="1"/>
  <c r="R78" i="6"/>
  <c r="P105" i="6"/>
  <c r="S105" i="6" s="1"/>
  <c r="R105" i="6"/>
  <c r="P114" i="6"/>
  <c r="S114" i="6" s="1"/>
  <c r="R114" i="6"/>
  <c r="P84" i="6"/>
  <c r="S84" i="6" s="1"/>
  <c r="R84" i="6"/>
  <c r="P90" i="6"/>
  <c r="S90" i="6" s="1"/>
  <c r="R90" i="6"/>
  <c r="P71" i="6"/>
  <c r="S71" i="6" s="1"/>
  <c r="R71" i="6"/>
  <c r="P109" i="6"/>
  <c r="S109" i="6" s="1"/>
  <c r="R109" i="6"/>
  <c r="P67" i="6"/>
  <c r="S67" i="6" s="1"/>
  <c r="R67" i="6"/>
  <c r="P88" i="6"/>
  <c r="S88" i="6" s="1"/>
  <c r="R88" i="6"/>
  <c r="P81" i="6"/>
  <c r="S81" i="6" s="1"/>
  <c r="R81" i="6"/>
  <c r="P110" i="6"/>
  <c r="S110" i="6" s="1"/>
  <c r="R110" i="6"/>
  <c r="P73" i="6"/>
  <c r="S73" i="6" s="1"/>
  <c r="R73" i="6"/>
  <c r="P75" i="6"/>
  <c r="S75" i="6" s="1"/>
  <c r="R75" i="6"/>
  <c r="P85" i="6"/>
  <c r="S85" i="6" s="1"/>
  <c r="R85" i="6"/>
  <c r="P66" i="6"/>
  <c r="S66" i="6" s="1"/>
  <c r="R66" i="6"/>
  <c r="P94" i="6"/>
  <c r="S94" i="6" s="1"/>
  <c r="R94" i="6"/>
  <c r="P112" i="6"/>
  <c r="S112" i="6" s="1"/>
  <c r="R112" i="6"/>
  <c r="P69" i="6"/>
  <c r="S69" i="6" s="1"/>
  <c r="R69" i="6"/>
  <c r="P87" i="6"/>
  <c r="S87" i="6" s="1"/>
  <c r="R87" i="6"/>
  <c r="P91" i="6"/>
  <c r="S91" i="6" s="1"/>
  <c r="R91" i="6"/>
  <c r="P79" i="6"/>
  <c r="S79" i="6" s="1"/>
  <c r="R79" i="6"/>
  <c r="P108" i="6"/>
  <c r="S108" i="6" s="1"/>
  <c r="R108" i="6"/>
  <c r="P89" i="6"/>
  <c r="S89" i="6" s="1"/>
  <c r="R89" i="6"/>
  <c r="P82" i="6"/>
  <c r="S82" i="6" s="1"/>
  <c r="R82" i="6"/>
  <c r="P103" i="6"/>
  <c r="S103" i="6" s="1"/>
  <c r="R103" i="6"/>
  <c r="P74" i="6"/>
  <c r="S74" i="6" s="1"/>
  <c r="R74" i="6"/>
  <c r="P101" i="6"/>
  <c r="S101" i="6" s="1"/>
  <c r="R101" i="6"/>
  <c r="P104" i="6"/>
  <c r="S104" i="6" s="1"/>
  <c r="R104" i="6"/>
  <c r="P102" i="6"/>
  <c r="S102" i="6" s="1"/>
  <c r="R102" i="6"/>
  <c r="P99" i="6"/>
  <c r="S99" i="6" s="1"/>
  <c r="R99" i="6"/>
  <c r="P65" i="6"/>
  <c r="S65" i="6" s="1"/>
  <c r="T167" i="1"/>
  <c r="X167" i="1"/>
  <c r="P167" i="1"/>
  <c r="W167" i="1"/>
  <c r="V167" i="1"/>
  <c r="U167" i="1"/>
  <c r="S167" i="1"/>
  <c r="R167" i="1"/>
  <c r="Q167" i="1"/>
  <c r="O167" i="1"/>
  <c r="N167" i="1"/>
  <c r="M133" i="1"/>
  <c r="M134" i="1"/>
  <c r="U135" i="1"/>
  <c r="X135" i="1"/>
  <c r="P135" i="1"/>
  <c r="Q135" i="1"/>
  <c r="R135" i="1"/>
  <c r="T135" i="1"/>
  <c r="M140" i="1"/>
  <c r="P140" i="1"/>
  <c r="U140" i="1"/>
  <c r="Q140" i="1"/>
  <c r="X140" i="1"/>
  <c r="N140" i="1"/>
  <c r="W140" i="1"/>
  <c r="V140" i="1"/>
  <c r="O140" i="1"/>
  <c r="S140" i="1"/>
  <c r="R140" i="1"/>
  <c r="T140" i="1"/>
  <c r="W133" i="1"/>
  <c r="S136" i="1"/>
  <c r="O135" i="1"/>
  <c r="N135" i="1"/>
  <c r="S135" i="1"/>
  <c r="Q133" i="1"/>
  <c r="X133" i="1"/>
  <c r="N133" i="1"/>
  <c r="R136" i="1"/>
  <c r="Q136" i="1"/>
  <c r="P136" i="1"/>
  <c r="R134" i="1"/>
  <c r="N134" i="1"/>
  <c r="S134" i="1"/>
  <c r="U133" i="1"/>
  <c r="O133" i="1"/>
  <c r="P133" i="1"/>
  <c r="U136" i="1"/>
  <c r="X136" i="1"/>
  <c r="O136" i="1"/>
  <c r="Q134" i="1"/>
  <c r="T134" i="1"/>
  <c r="U134" i="1"/>
  <c r="S133" i="1"/>
  <c r="R133" i="1"/>
  <c r="W136" i="1"/>
  <c r="V136" i="1"/>
  <c r="X134" i="1"/>
  <c r="W134" i="1"/>
  <c r="O134" i="1"/>
  <c r="V135" i="1"/>
  <c r="W135" i="1"/>
  <c r="V133" i="1"/>
  <c r="T133" i="1"/>
  <c r="N136" i="1"/>
  <c r="T136" i="1"/>
  <c r="V134" i="1"/>
  <c r="P134" i="1"/>
  <c r="S133" i="110"/>
  <c r="M133" i="110"/>
  <c r="N133" i="110"/>
  <c r="Q133" i="110"/>
  <c r="V133" i="110"/>
  <c r="R133" i="110"/>
  <c r="T133" i="110"/>
  <c r="W133" i="110"/>
  <c r="X133" i="110"/>
  <c r="U133" i="110"/>
  <c r="P133" i="110"/>
  <c r="O133" i="110"/>
  <c r="U134" i="110"/>
  <c r="Q134" i="110"/>
  <c r="W134" i="110"/>
  <c r="O134" i="110"/>
  <c r="V134" i="110"/>
  <c r="M134" i="110"/>
  <c r="N134" i="110"/>
  <c r="P134" i="110"/>
  <c r="S134" i="110"/>
  <c r="X134" i="110"/>
  <c r="T134" i="110"/>
  <c r="R134" i="110"/>
  <c r="A98" i="6"/>
  <c r="D98" i="6"/>
  <c r="A77" i="6"/>
  <c r="D77" i="6"/>
  <c r="A110" i="6"/>
  <c r="D110" i="6"/>
  <c r="A72" i="6"/>
  <c r="A73" i="6"/>
  <c r="D73" i="6"/>
  <c r="A93" i="6"/>
  <c r="D93" i="6"/>
  <c r="A75" i="6"/>
  <c r="A96" i="6"/>
  <c r="D96" i="6"/>
  <c r="A85" i="6"/>
  <c r="D85" i="6"/>
  <c r="A76" i="6"/>
  <c r="A86" i="6"/>
  <c r="D86" i="6"/>
  <c r="A113" i="6"/>
  <c r="D113" i="6"/>
  <c r="A66" i="6"/>
  <c r="D66" i="6"/>
  <c r="A92" i="6"/>
  <c r="D92" i="6"/>
  <c r="A94" i="6"/>
  <c r="D94" i="6"/>
  <c r="B83" i="6"/>
  <c r="H83" i="6" s="1"/>
  <c r="A83" i="6"/>
  <c r="D83" i="6"/>
  <c r="A68" i="6"/>
  <c r="A112" i="6"/>
  <c r="D112" i="6"/>
  <c r="A106" i="6"/>
  <c r="D106" i="6"/>
  <c r="A107" i="6"/>
  <c r="D107" i="6"/>
  <c r="A69" i="6"/>
  <c r="D69" i="6"/>
  <c r="A95" i="6"/>
  <c r="D95" i="6"/>
  <c r="A70" i="6"/>
  <c r="D70" i="6"/>
  <c r="A97" i="6"/>
  <c r="D97" i="6"/>
  <c r="A100" i="6"/>
  <c r="D100" i="6"/>
  <c r="A80" i="6"/>
  <c r="D80" i="6"/>
  <c r="A111" i="6"/>
  <c r="D111" i="6"/>
  <c r="A78" i="6"/>
  <c r="D78" i="6"/>
  <c r="A105" i="6"/>
  <c r="D105" i="6"/>
  <c r="A114" i="6"/>
  <c r="D114" i="6"/>
  <c r="A84" i="6"/>
  <c r="D84" i="6"/>
  <c r="A90" i="6"/>
  <c r="D90" i="6"/>
  <c r="A71" i="6"/>
  <c r="D71" i="6"/>
  <c r="A109" i="6"/>
  <c r="D109" i="6"/>
  <c r="A67" i="6"/>
  <c r="D67" i="6"/>
  <c r="A88" i="6"/>
  <c r="D88" i="6"/>
  <c r="A81" i="6"/>
  <c r="D81" i="6"/>
  <c r="A87" i="6"/>
  <c r="D87" i="6"/>
  <c r="A91" i="6"/>
  <c r="D91" i="6"/>
  <c r="A79" i="6"/>
  <c r="D79" i="6"/>
  <c r="A108" i="6"/>
  <c r="D108" i="6"/>
  <c r="A89" i="6"/>
  <c r="D89" i="6"/>
  <c r="A82" i="6"/>
  <c r="D82" i="6"/>
  <c r="A103" i="6"/>
  <c r="D103" i="6"/>
  <c r="A74" i="6"/>
  <c r="D74" i="6"/>
  <c r="A101" i="6"/>
  <c r="D101" i="6"/>
  <c r="A104" i="6"/>
  <c r="D104" i="6"/>
  <c r="A102" i="6"/>
  <c r="D102" i="6"/>
  <c r="A99" i="6"/>
  <c r="D99" i="6"/>
  <c r="A65" i="6"/>
  <c r="D65" i="6"/>
  <c r="B99" i="6"/>
  <c r="H99" i="6" s="1"/>
  <c r="B67" i="6"/>
  <c r="H67" i="6" s="1"/>
  <c r="B102" i="6"/>
  <c r="H102" i="6" s="1"/>
  <c r="C102" i="6"/>
  <c r="B86" i="6"/>
  <c r="H86" i="6" s="1"/>
  <c r="B70" i="6"/>
  <c r="H70" i="6" s="1"/>
  <c r="C105" i="6"/>
  <c r="B105" i="6"/>
  <c r="H105" i="6" s="1"/>
  <c r="B89" i="6"/>
  <c r="H89" i="6" s="1"/>
  <c r="B73" i="6"/>
  <c r="C108" i="6"/>
  <c r="B108" i="6"/>
  <c r="H108" i="6" s="1"/>
  <c r="B92" i="6"/>
  <c r="H92" i="6" s="1"/>
  <c r="B76" i="6"/>
  <c r="C111" i="6"/>
  <c r="B111" i="6"/>
  <c r="H111" i="6" s="1"/>
  <c r="B95" i="6"/>
  <c r="H95" i="6" s="1"/>
  <c r="B79" i="6"/>
  <c r="H79" i="6" s="1"/>
  <c r="B114" i="6"/>
  <c r="H114" i="6" s="1"/>
  <c r="C114" i="6"/>
  <c r="B98" i="6"/>
  <c r="H98" i="6" s="1"/>
  <c r="B82" i="6"/>
  <c r="H82" i="6" s="1"/>
  <c r="B66" i="6"/>
  <c r="H66" i="6" s="1"/>
  <c r="B101" i="6"/>
  <c r="H101" i="6" s="1"/>
  <c r="C101" i="6"/>
  <c r="B85" i="6"/>
  <c r="H85" i="6" s="1"/>
  <c r="B69" i="6"/>
  <c r="H69" i="6" s="1"/>
  <c r="B104" i="6"/>
  <c r="H104" i="6" s="1"/>
  <c r="C104" i="6"/>
  <c r="B88" i="6"/>
  <c r="H88" i="6" s="1"/>
  <c r="B72" i="6"/>
  <c r="B103" i="6"/>
  <c r="H103" i="6" s="1"/>
  <c r="C103" i="6"/>
  <c r="B87" i="6"/>
  <c r="H87" i="6" s="1"/>
  <c r="B71" i="6"/>
  <c r="H71" i="6" s="1"/>
  <c r="B106" i="6"/>
  <c r="H106" i="6" s="1"/>
  <c r="C106" i="6"/>
  <c r="B90" i="6"/>
  <c r="H90" i="6" s="1"/>
  <c r="B74" i="6"/>
  <c r="C109" i="6"/>
  <c r="B109" i="6"/>
  <c r="H109" i="6" s="1"/>
  <c r="B93" i="6"/>
  <c r="H93" i="6" s="1"/>
  <c r="B77" i="6"/>
  <c r="H77" i="6" s="1"/>
  <c r="C112" i="6"/>
  <c r="B112" i="6"/>
  <c r="H112" i="6" s="1"/>
  <c r="B96" i="6"/>
  <c r="H96" i="6" s="1"/>
  <c r="B80" i="6"/>
  <c r="H80" i="6" s="1"/>
  <c r="B107" i="6"/>
  <c r="H107" i="6" s="1"/>
  <c r="C107" i="6"/>
  <c r="B91" i="6"/>
  <c r="H91" i="6" s="1"/>
  <c r="C91" i="6"/>
  <c r="B75" i="6"/>
  <c r="B110" i="6"/>
  <c r="H110" i="6" s="1"/>
  <c r="C110" i="6"/>
  <c r="B94" i="6"/>
  <c r="H94" i="6" s="1"/>
  <c r="B78" i="6"/>
  <c r="H78" i="6" s="1"/>
  <c r="C113" i="6"/>
  <c r="B113" i="6"/>
  <c r="H113" i="6" s="1"/>
  <c r="B97" i="6"/>
  <c r="H97" i="6" s="1"/>
  <c r="B81" i="6"/>
  <c r="H81" i="6" s="1"/>
  <c r="C100" i="6"/>
  <c r="B100" i="6"/>
  <c r="H100" i="6" s="1"/>
  <c r="B84" i="6"/>
  <c r="H84" i="6" s="1"/>
  <c r="B68" i="6"/>
  <c r="N162" i="1"/>
  <c r="R162" i="1"/>
  <c r="V162" i="1"/>
  <c r="U162" i="1"/>
  <c r="O162" i="1"/>
  <c r="S162" i="1"/>
  <c r="W162" i="1"/>
  <c r="Q162" i="1"/>
  <c r="M162" i="1"/>
  <c r="P162" i="1"/>
  <c r="T162" i="1"/>
  <c r="X162" i="1"/>
  <c r="G162" i="1"/>
  <c r="K100" i="1"/>
  <c r="E50" i="3" s="1"/>
  <c r="H161" i="1"/>
  <c r="N125" i="1"/>
  <c r="O125" i="1"/>
  <c r="T125" i="1"/>
  <c r="S125" i="1"/>
  <c r="X125" i="1"/>
  <c r="U125" i="1"/>
  <c r="W125" i="1"/>
  <c r="R125" i="1"/>
  <c r="M125" i="1"/>
  <c r="P125" i="1"/>
  <c r="V125" i="1"/>
  <c r="I176" i="1"/>
  <c r="B122" i="6" s="1"/>
  <c r="I63" i="1"/>
  <c r="H66" i="1"/>
  <c r="H34" i="1"/>
  <c r="H65" i="6"/>
  <c r="E167" i="3"/>
  <c r="E165" i="3"/>
  <c r="D166" i="3"/>
  <c r="J164" i="3"/>
  <c r="J167" i="3"/>
  <c r="L164" i="3"/>
  <c r="G163" i="3"/>
  <c r="F163" i="3"/>
  <c r="I163" i="3"/>
  <c r="I165" i="3"/>
  <c r="F167" i="3"/>
  <c r="M164" i="3"/>
  <c r="L168" i="3"/>
  <c r="K163" i="3"/>
  <c r="E166" i="3"/>
  <c r="L166" i="3"/>
  <c r="H165" i="3"/>
  <c r="J168" i="3"/>
  <c r="M168" i="3"/>
  <c r="M163" i="3"/>
  <c r="K168" i="3"/>
  <c r="I167" i="3"/>
  <c r="L165" i="3"/>
  <c r="D167" i="3"/>
  <c r="F168" i="3"/>
  <c r="J166" i="3"/>
  <c r="H166" i="3"/>
  <c r="G164" i="3"/>
  <c r="D163" i="3"/>
  <c r="E163" i="3"/>
  <c r="H168" i="3"/>
  <c r="F166" i="3"/>
  <c r="N164" i="3"/>
  <c r="I168" i="3"/>
  <c r="J163" i="3"/>
  <c r="M166" i="3"/>
  <c r="H164" i="3"/>
  <c r="G165" i="3"/>
  <c r="G166" i="3"/>
  <c r="N165" i="3"/>
  <c r="F165" i="3"/>
  <c r="N168" i="3"/>
  <c r="M165" i="3"/>
  <c r="K166" i="3"/>
  <c r="F164" i="3"/>
  <c r="N167" i="3"/>
  <c r="H167" i="3"/>
  <c r="N166" i="3"/>
  <c r="H163" i="3"/>
  <c r="E168" i="3"/>
  <c r="I164" i="3"/>
  <c r="M167" i="3"/>
  <c r="N163" i="3"/>
  <c r="D165" i="3"/>
  <c r="J165" i="3"/>
  <c r="L167" i="3"/>
  <c r="G168" i="3"/>
  <c r="K167" i="3"/>
  <c r="K164" i="3"/>
  <c r="L163" i="3"/>
  <c r="K165" i="3"/>
  <c r="I166" i="3"/>
  <c r="D164" i="3"/>
  <c r="D168" i="3"/>
  <c r="G167" i="3"/>
  <c r="E164" i="3"/>
  <c r="D122" i="6"/>
  <c r="H74" i="6"/>
  <c r="H73" i="6"/>
  <c r="H75" i="6"/>
  <c r="E143" i="3" l="1"/>
  <c r="E142" i="3"/>
  <c r="E109" i="6"/>
  <c r="G109" i="6"/>
  <c r="F109" i="6"/>
  <c r="G114" i="6"/>
  <c r="F114" i="6"/>
  <c r="E114" i="6"/>
  <c r="F113" i="6"/>
  <c r="G113" i="6"/>
  <c r="E113" i="6"/>
  <c r="F110" i="6"/>
  <c r="G110" i="6"/>
  <c r="E110" i="6"/>
  <c r="F106" i="6"/>
  <c r="G106" i="6"/>
  <c r="E106" i="6"/>
  <c r="E111" i="6"/>
  <c r="G111" i="6"/>
  <c r="F111" i="6"/>
  <c r="G108" i="6"/>
  <c r="E108" i="6"/>
  <c r="F108" i="6"/>
  <c r="F107" i="6"/>
  <c r="E107" i="6"/>
  <c r="G107" i="6"/>
  <c r="E112" i="6"/>
  <c r="F112" i="6"/>
  <c r="G112" i="6"/>
  <c r="E105" i="6"/>
  <c r="G105" i="6"/>
  <c r="F105" i="6"/>
  <c r="D115" i="6"/>
  <c r="H67" i="1"/>
  <c r="I66" i="1"/>
  <c r="H35" i="1"/>
  <c r="I34" i="1"/>
  <c r="F100" i="6"/>
  <c r="F104" i="6"/>
  <c r="E102" i="6"/>
  <c r="G103" i="6"/>
  <c r="E104" i="6"/>
  <c r="E103" i="6"/>
  <c r="G100" i="6"/>
  <c r="G101" i="6"/>
  <c r="F102" i="6"/>
  <c r="F103" i="6"/>
  <c r="F99" i="6"/>
  <c r="G102" i="6"/>
  <c r="E100" i="6"/>
  <c r="G104" i="6"/>
  <c r="F101" i="6"/>
  <c r="E99" i="6"/>
  <c r="E101" i="6"/>
  <c r="E97" i="6"/>
  <c r="E96" i="6"/>
  <c r="F98" i="6"/>
  <c r="E98" i="6"/>
  <c r="F97" i="6"/>
  <c r="F96" i="6"/>
  <c r="E95" i="6"/>
  <c r="F95" i="6"/>
  <c r="F94" i="6"/>
  <c r="E92" i="6"/>
  <c r="F93" i="6"/>
  <c r="E93" i="6"/>
  <c r="E94" i="6"/>
  <c r="F92" i="6"/>
  <c r="G91" i="6"/>
  <c r="E90" i="6"/>
  <c r="E91" i="6"/>
  <c r="F91" i="6"/>
  <c r="F90" i="6"/>
  <c r="E89" i="6"/>
  <c r="F89" i="6"/>
  <c r="F88" i="6"/>
  <c r="E88" i="6"/>
  <c r="F87" i="6"/>
  <c r="E85" i="6"/>
  <c r="E86" i="6"/>
  <c r="F85" i="6"/>
  <c r="F86" i="6"/>
  <c r="E87" i="6"/>
  <c r="E84" i="6"/>
  <c r="F84" i="6"/>
  <c r="F83" i="6"/>
  <c r="E83" i="6"/>
  <c r="F82" i="6"/>
  <c r="E82" i="6"/>
  <c r="F68" i="6"/>
  <c r="E69" i="6"/>
  <c r="E75" i="6"/>
  <c r="F72" i="6"/>
  <c r="F76" i="6"/>
  <c r="F79" i="6"/>
  <c r="F80" i="6"/>
  <c r="F77" i="6"/>
  <c r="E72" i="6"/>
  <c r="E80" i="6"/>
  <c r="E76" i="6"/>
  <c r="F65" i="6"/>
  <c r="E81" i="6"/>
  <c r="F70" i="6"/>
  <c r="F67" i="6"/>
  <c r="F73" i="6"/>
  <c r="E71" i="6"/>
  <c r="E66" i="6"/>
  <c r="F81" i="6"/>
  <c r="E70" i="6"/>
  <c r="E67" i="6"/>
  <c r="E68" i="6"/>
  <c r="F78" i="6"/>
  <c r="F75" i="6"/>
  <c r="E65" i="6"/>
  <c r="F71" i="6"/>
  <c r="E79" i="6"/>
  <c r="F74" i="6"/>
  <c r="E78" i="6"/>
  <c r="F69" i="6"/>
  <c r="E74" i="6"/>
  <c r="E77" i="6"/>
  <c r="E73" i="6"/>
  <c r="I67" i="1" l="1"/>
  <c r="H68" i="1"/>
  <c r="H36" i="1"/>
  <c r="I35" i="1"/>
  <c r="F66" i="6"/>
  <c r="I68" i="1" l="1"/>
  <c r="K65" i="1" s="1"/>
  <c r="E47" i="3" s="1"/>
  <c r="I36" i="1"/>
  <c r="H37" i="1"/>
  <c r="H72" i="1" l="1"/>
  <c r="I71" i="1"/>
  <c r="I37" i="1"/>
  <c r="H40" i="1"/>
  <c r="I72" i="1" l="1"/>
  <c r="H73" i="1"/>
  <c r="H41" i="1"/>
  <c r="I41" i="1" l="1"/>
  <c r="H45" i="1"/>
  <c r="H74" i="1"/>
  <c r="I73" i="1"/>
  <c r="H46" i="1" l="1"/>
  <c r="I74" i="1"/>
  <c r="H75" i="1"/>
  <c r="H47" i="1" l="1"/>
  <c r="I75" i="1"/>
  <c r="K70" i="1" s="1"/>
  <c r="E48" i="3" s="1"/>
  <c r="H48" i="1" l="1"/>
  <c r="H95" i="1"/>
  <c r="I95" i="1" s="1"/>
  <c r="I94" i="1"/>
  <c r="H49" i="1" l="1"/>
  <c r="H50" i="1" l="1"/>
  <c r="H51" i="1" l="1"/>
  <c r="I50" i="1"/>
  <c r="H52" i="1" l="1"/>
  <c r="I51" i="1"/>
  <c r="I52" i="1" l="1"/>
  <c r="H55" i="1"/>
  <c r="H56" i="1" l="1"/>
  <c r="I55" i="1"/>
  <c r="I56" i="1" l="1"/>
  <c r="H57" i="1"/>
  <c r="H58" i="1" l="1"/>
  <c r="I58" i="1" s="1"/>
  <c r="I57" i="1"/>
  <c r="K54" i="1" l="1"/>
  <c r="E45" i="3" s="1"/>
  <c r="I125" i="1" l="1"/>
  <c r="B120" i="6" s="1"/>
  <c r="D120" i="6"/>
  <c r="N18" i="10" l="1"/>
  <c r="G24" i="1" s="1"/>
  <c r="N20" i="10"/>
  <c r="G26" i="1" s="1"/>
  <c r="N22" i="10"/>
  <c r="G28" i="1" s="1"/>
  <c r="N16" i="10"/>
  <c r="G22" i="1" s="1"/>
  <c r="N17" i="10"/>
  <c r="G23" i="1" s="1"/>
  <c r="N19" i="10"/>
  <c r="G25" i="1" s="1"/>
  <c r="N21" i="10"/>
  <c r="G27" i="1" s="1"/>
  <c r="N23" i="10"/>
  <c r="G29" i="1" s="1"/>
  <c r="G155" i="110" l="1"/>
  <c r="I24" i="110"/>
  <c r="N47" i="3" s="1"/>
  <c r="G156" i="110"/>
  <c r="I25" i="110"/>
  <c r="N48" i="3" s="1"/>
  <c r="G159" i="110"/>
  <c r="I28" i="110"/>
  <c r="G153" i="110"/>
  <c r="I22" i="110"/>
  <c r="N45" i="3" s="1"/>
  <c r="G154" i="110"/>
  <c r="I23" i="110"/>
  <c r="N46" i="3" s="1"/>
  <c r="G157" i="110"/>
  <c r="I26" i="110"/>
  <c r="N49" i="3" s="1"/>
  <c r="G158" i="110"/>
  <c r="I27" i="110"/>
  <c r="N50" i="3" s="1"/>
  <c r="G160" i="110"/>
  <c r="I29" i="110"/>
  <c r="G159" i="1"/>
  <c r="I29" i="1"/>
  <c r="I26" i="1"/>
  <c r="L49" i="3" s="1"/>
  <c r="G155" i="1"/>
  <c r="G153" i="1"/>
  <c r="G158" i="1"/>
  <c r="I25" i="1"/>
  <c r="L48" i="3" s="1"/>
  <c r="G154" i="1"/>
  <c r="G157" i="1"/>
  <c r="I27" i="1"/>
  <c r="L50" i="3" s="1"/>
  <c r="I23" i="1"/>
  <c r="L46" i="3" s="1"/>
  <c r="I24" i="1"/>
  <c r="L47" i="3" s="1"/>
  <c r="I28" i="1"/>
  <c r="I22" i="1"/>
  <c r="L45" i="3" s="1"/>
  <c r="G160" i="1"/>
  <c r="G156" i="1"/>
  <c r="W157" i="110" l="1"/>
  <c r="U157" i="110"/>
  <c r="Q157" i="110"/>
  <c r="M157" i="110"/>
  <c r="P157" i="110"/>
  <c r="N157" i="110"/>
  <c r="T157" i="110"/>
  <c r="V157" i="110"/>
  <c r="S157" i="110"/>
  <c r="O157" i="110"/>
  <c r="R157" i="110"/>
  <c r="X157" i="110"/>
  <c r="N156" i="110"/>
  <c r="T156" i="110"/>
  <c r="M156" i="110"/>
  <c r="W156" i="110"/>
  <c r="R156" i="110"/>
  <c r="V156" i="110"/>
  <c r="S156" i="110"/>
  <c r="P156" i="110"/>
  <c r="O156" i="110"/>
  <c r="Q156" i="110"/>
  <c r="U156" i="110"/>
  <c r="X156" i="110"/>
  <c r="W158" i="1"/>
  <c r="T158" i="1"/>
  <c r="U158" i="1"/>
  <c r="M158" i="1"/>
  <c r="X158" i="1"/>
  <c r="V158" i="1"/>
  <c r="O158" i="1"/>
  <c r="N158" i="1"/>
  <c r="R158" i="1"/>
  <c r="S158" i="1"/>
  <c r="P158" i="1"/>
  <c r="Q158" i="1"/>
  <c r="V157" i="1"/>
  <c r="U157" i="1"/>
  <c r="Q157" i="1"/>
  <c r="T157" i="1"/>
  <c r="O157" i="1"/>
  <c r="P157" i="1"/>
  <c r="M157" i="1"/>
  <c r="N157" i="1"/>
  <c r="S157" i="1"/>
  <c r="R157" i="1"/>
  <c r="W157" i="1"/>
  <c r="X157" i="1"/>
  <c r="X159" i="1"/>
  <c r="M159" i="1"/>
  <c r="V159" i="1"/>
  <c r="N159" i="1"/>
  <c r="S159" i="1"/>
  <c r="O159" i="1"/>
  <c r="W159" i="1"/>
  <c r="P159" i="1"/>
  <c r="Q159" i="1"/>
  <c r="T159" i="1"/>
  <c r="U159" i="1"/>
  <c r="R159" i="1"/>
  <c r="S158" i="110"/>
  <c r="V158" i="110"/>
  <c r="T158" i="110"/>
  <c r="O158" i="110"/>
  <c r="R158" i="110"/>
  <c r="W158" i="110"/>
  <c r="U158" i="110"/>
  <c r="N158" i="110"/>
  <c r="X158" i="110"/>
  <c r="M158" i="110"/>
  <c r="Q158" i="110"/>
  <c r="P158" i="110"/>
  <c r="O154" i="110"/>
  <c r="P154" i="110"/>
  <c r="R154" i="110"/>
  <c r="M154" i="110"/>
  <c r="T154" i="110"/>
  <c r="U154" i="110"/>
  <c r="N154" i="110"/>
  <c r="Q154" i="110"/>
  <c r="V154" i="110"/>
  <c r="S154" i="110"/>
  <c r="X154" i="110"/>
  <c r="W154" i="110"/>
  <c r="Q159" i="110"/>
  <c r="O159" i="110"/>
  <c r="W159" i="110"/>
  <c r="S159" i="110"/>
  <c r="T159" i="110"/>
  <c r="V159" i="110"/>
  <c r="P159" i="110"/>
  <c r="N159" i="110"/>
  <c r="R159" i="110"/>
  <c r="U159" i="110"/>
  <c r="X159" i="110"/>
  <c r="M159" i="110"/>
  <c r="W155" i="110"/>
  <c r="N155" i="110"/>
  <c r="Q155" i="110"/>
  <c r="S155" i="110"/>
  <c r="V155" i="110"/>
  <c r="U155" i="110"/>
  <c r="T155" i="110"/>
  <c r="X155" i="110"/>
  <c r="R155" i="110"/>
  <c r="O155" i="110"/>
  <c r="M155" i="110"/>
  <c r="P155" i="110"/>
  <c r="W153" i="110"/>
  <c r="V153" i="110"/>
  <c r="P153" i="110"/>
  <c r="Q153" i="110"/>
  <c r="S153" i="110"/>
  <c r="M153" i="110"/>
  <c r="R153" i="110"/>
  <c r="N153" i="110"/>
  <c r="X153" i="110"/>
  <c r="U153" i="110"/>
  <c r="T153" i="110"/>
  <c r="O153" i="110"/>
  <c r="N160" i="1"/>
  <c r="O160" i="1"/>
  <c r="X160" i="1"/>
  <c r="V160" i="1"/>
  <c r="P160" i="1"/>
  <c r="Q160" i="1"/>
  <c r="R160" i="1"/>
  <c r="S160" i="1"/>
  <c r="U160" i="1"/>
  <c r="W160" i="1"/>
  <c r="T160" i="1"/>
  <c r="M160" i="1"/>
  <c r="W160" i="110"/>
  <c r="X160" i="110"/>
  <c r="U160" i="110"/>
  <c r="Q160" i="110"/>
  <c r="O160" i="110"/>
  <c r="N160" i="110"/>
  <c r="P160" i="110"/>
  <c r="S160" i="110"/>
  <c r="M160" i="110"/>
  <c r="T160" i="110"/>
  <c r="R160" i="110"/>
  <c r="V160" i="110"/>
  <c r="M154" i="1"/>
  <c r="U154" i="1"/>
  <c r="X154" i="1"/>
  <c r="P154" i="1"/>
  <c r="O154" i="1"/>
  <c r="N154" i="1"/>
  <c r="Q154" i="1"/>
  <c r="S154" i="1"/>
  <c r="R154" i="1"/>
  <c r="W154" i="1"/>
  <c r="T154" i="1"/>
  <c r="V154" i="1"/>
  <c r="M155" i="1"/>
  <c r="R155" i="1"/>
  <c r="U155" i="1"/>
  <c r="T155" i="1"/>
  <c r="V155" i="1"/>
  <c r="P155" i="1"/>
  <c r="O155" i="1"/>
  <c r="N155" i="1"/>
  <c r="W155" i="1"/>
  <c r="X155" i="1"/>
  <c r="Q155" i="1"/>
  <c r="S155" i="1"/>
  <c r="M156" i="1"/>
  <c r="X156" i="1"/>
  <c r="S156" i="1"/>
  <c r="U156" i="1"/>
  <c r="P156" i="1"/>
  <c r="O156" i="1"/>
  <c r="V156" i="1"/>
  <c r="T156" i="1"/>
  <c r="Q156" i="1"/>
  <c r="N156" i="1"/>
  <c r="W156" i="1"/>
  <c r="R156" i="1"/>
  <c r="M153" i="1"/>
  <c r="P153" i="1"/>
  <c r="S153" i="1"/>
  <c r="Q153" i="1"/>
  <c r="V153" i="1"/>
  <c r="O153" i="1"/>
  <c r="U153" i="1"/>
  <c r="N153" i="1"/>
  <c r="X153" i="1"/>
  <c r="W153" i="1"/>
  <c r="R153" i="1"/>
  <c r="T153" i="1"/>
  <c r="N34" i="10"/>
  <c r="G40" i="1" s="1"/>
  <c r="R491" i="9"/>
  <c r="R676" i="9"/>
  <c r="R655" i="9"/>
  <c r="U724" i="9"/>
  <c r="U722" i="9"/>
  <c r="R682" i="9"/>
  <c r="R593" i="9"/>
  <c r="U638" i="9"/>
  <c r="U632" i="9"/>
  <c r="U652" i="9"/>
  <c r="R633" i="9"/>
  <c r="U631" i="9"/>
  <c r="R595" i="9"/>
  <c r="R679" i="9"/>
  <c r="U497" i="9"/>
  <c r="U591" i="9"/>
  <c r="U710" i="9"/>
  <c r="R658" i="9"/>
  <c r="U493" i="9"/>
  <c r="U674" i="9"/>
  <c r="R494" i="9"/>
  <c r="U494" i="9"/>
  <c r="R678" i="9"/>
  <c r="U709" i="9"/>
  <c r="R677" i="9"/>
  <c r="R704" i="9"/>
  <c r="U590" i="9"/>
  <c r="U725" i="9"/>
  <c r="U705" i="9"/>
  <c r="U556" i="9"/>
  <c r="U730" i="9"/>
  <c r="R592" i="9"/>
  <c r="U571" i="9"/>
  <c r="U719" i="9"/>
  <c r="U728" i="9"/>
  <c r="U656" i="9"/>
  <c r="R561" i="9"/>
  <c r="R654" i="9"/>
  <c r="U752" i="9"/>
  <c r="R681" i="9"/>
  <c r="R675" i="9"/>
  <c r="R560" i="9"/>
  <c r="U708" i="9"/>
  <c r="U559" i="9"/>
  <c r="R673" i="9"/>
  <c r="R555" i="9"/>
  <c r="R723" i="9"/>
  <c r="U496" i="9"/>
  <c r="U726" i="9"/>
  <c r="R596" i="9"/>
  <c r="U729" i="9"/>
  <c r="G161" i="1" l="1"/>
  <c r="P724" i="9"/>
  <c r="U561" i="9"/>
  <c r="P561" i="9" s="1"/>
  <c r="P674" i="9"/>
  <c r="P632" i="9"/>
  <c r="R729" i="9"/>
  <c r="U673" i="9"/>
  <c r="P673" i="9" s="1"/>
  <c r="U560" i="9"/>
  <c r="P560" i="9" s="1"/>
  <c r="U655" i="9"/>
  <c r="P655" i="9" s="1"/>
  <c r="U682" i="9"/>
  <c r="P682" i="9" s="1"/>
  <c r="R724" i="9"/>
  <c r="P729" i="9"/>
  <c r="U704" i="9"/>
  <c r="P704" i="9" s="1"/>
  <c r="P590" i="9"/>
  <c r="P591" i="9"/>
  <c r="U555" i="9"/>
  <c r="P555" i="9" s="1"/>
  <c r="R632" i="9"/>
  <c r="P556" i="9"/>
  <c r="P722" i="9"/>
  <c r="U679" i="9"/>
  <c r="P679" i="9" s="1"/>
  <c r="P638" i="9"/>
  <c r="P752" i="9"/>
  <c r="R730" i="9"/>
  <c r="R638" i="9"/>
  <c r="U491" i="9"/>
  <c r="P491" i="9" s="1"/>
  <c r="R496" i="9"/>
  <c r="U654" i="9"/>
  <c r="P654" i="9" s="1"/>
  <c r="U723" i="9"/>
  <c r="P723" i="9" s="1"/>
  <c r="U592" i="9"/>
  <c r="P592" i="9" s="1"/>
  <c r="U677" i="9"/>
  <c r="P677" i="9" s="1"/>
  <c r="R493" i="9"/>
  <c r="U593" i="9"/>
  <c r="P593" i="9" s="1"/>
  <c r="U681" i="9"/>
  <c r="P681" i="9" s="1"/>
  <c r="P710" i="9"/>
  <c r="U676" i="9"/>
  <c r="P676" i="9" s="1"/>
  <c r="P709" i="9"/>
  <c r="P719" i="9"/>
  <c r="U596" i="9"/>
  <c r="P596" i="9" s="1"/>
  <c r="R571" i="9"/>
  <c r="P725" i="9"/>
  <c r="R709" i="9"/>
  <c r="U678" i="9"/>
  <c r="P678" i="9" s="1"/>
  <c r="R674" i="9"/>
  <c r="U658" i="9"/>
  <c r="P658" i="9" s="1"/>
  <c r="P652" i="9"/>
  <c r="U595" i="9"/>
  <c r="P595" i="9" s="1"/>
  <c r="R631" i="9"/>
  <c r="U633" i="9"/>
  <c r="P633" i="9" s="1"/>
  <c r="R652" i="9"/>
  <c r="R708" i="9"/>
  <c r="R497" i="9"/>
  <c r="P559" i="9"/>
  <c r="P496" i="9"/>
  <c r="R752" i="9"/>
  <c r="R726" i="9"/>
  <c r="R719" i="9"/>
  <c r="R710" i="9"/>
  <c r="R591" i="9"/>
  <c r="R559" i="9"/>
  <c r="P726" i="9"/>
  <c r="P571" i="9"/>
  <c r="P708" i="9"/>
  <c r="P494" i="9"/>
  <c r="P705" i="9"/>
  <c r="R656" i="9"/>
  <c r="P497" i="9"/>
  <c r="R722" i="9"/>
  <c r="R707" i="9"/>
  <c r="U707" i="9"/>
  <c r="P707" i="9" s="1"/>
  <c r="U751" i="9"/>
  <c r="P751" i="9" s="1"/>
  <c r="R751" i="9"/>
  <c r="R594" i="9"/>
  <c r="U594" i="9"/>
  <c r="P594" i="9" s="1"/>
  <c r="R653" i="9"/>
  <c r="U653" i="9"/>
  <c r="P653" i="9" s="1"/>
  <c r="R680" i="9"/>
  <c r="U680" i="9"/>
  <c r="P680" i="9" s="1"/>
  <c r="R657" i="9"/>
  <c r="U657" i="9"/>
  <c r="P657" i="9" s="1"/>
  <c r="U634" i="9"/>
  <c r="P634" i="9" s="1"/>
  <c r="R634" i="9"/>
  <c r="R636" i="9"/>
  <c r="U636" i="9"/>
  <c r="P636" i="9" s="1"/>
  <c r="U495" i="9"/>
  <c r="P495" i="9" s="1"/>
  <c r="R495" i="9"/>
  <c r="R728" i="9"/>
  <c r="P631" i="9"/>
  <c r="P730" i="9"/>
  <c r="R492" i="9"/>
  <c r="U492" i="9"/>
  <c r="P492" i="9" s="1"/>
  <c r="R556" i="9"/>
  <c r="R705" i="9"/>
  <c r="R725" i="9"/>
  <c r="R590" i="9"/>
  <c r="U675" i="9"/>
  <c r="P675" i="9" s="1"/>
  <c r="U558" i="9"/>
  <c r="P558" i="9" s="1"/>
  <c r="R558" i="9"/>
  <c r="U637" i="9"/>
  <c r="P637" i="9" s="1"/>
  <c r="R637" i="9"/>
  <c r="R683" i="9"/>
  <c r="U683" i="9"/>
  <c r="P683" i="9" s="1"/>
  <c r="R557" i="9"/>
  <c r="U557" i="9"/>
  <c r="P557" i="9" s="1"/>
  <c r="R489" i="9"/>
  <c r="U489" i="9"/>
  <c r="P489" i="9" s="1"/>
  <c r="U727" i="9"/>
  <c r="P727" i="9" s="1"/>
  <c r="R727" i="9"/>
  <c r="U490" i="9"/>
  <c r="P490" i="9" s="1"/>
  <c r="R490" i="9"/>
  <c r="U635" i="9"/>
  <c r="P635" i="9" s="1"/>
  <c r="R635" i="9"/>
  <c r="P493" i="9"/>
  <c r="P656" i="9"/>
  <c r="P728" i="9"/>
  <c r="U706" i="9"/>
  <c r="P706" i="9" s="1"/>
  <c r="R706" i="9"/>
  <c r="H67" i="4"/>
  <c r="AI42" i="4"/>
  <c r="AI67" i="4"/>
  <c r="H42" i="4"/>
  <c r="H64" i="4"/>
  <c r="H86" i="4"/>
  <c r="AI86" i="4"/>
  <c r="H85" i="4"/>
  <c r="T42" i="4" l="1"/>
  <c r="T64" i="4"/>
  <c r="V64" i="4" s="1"/>
  <c r="U67" i="4"/>
  <c r="Y67" i="4" s="1"/>
  <c r="V67" i="4"/>
  <c r="Z67" i="4" s="1"/>
  <c r="T67" i="4"/>
  <c r="X67" i="4" s="1"/>
  <c r="T86" i="4"/>
  <c r="X86" i="4" s="1"/>
  <c r="T85" i="4"/>
  <c r="U85" i="4" s="1"/>
  <c r="I67" i="4"/>
  <c r="M42" i="4"/>
  <c r="G161" i="110"/>
  <c r="I40" i="110"/>
  <c r="I42" i="4"/>
  <c r="I85" i="4"/>
  <c r="I86" i="4"/>
  <c r="I64" i="4"/>
  <c r="I40" i="1"/>
  <c r="K39" i="1" s="1"/>
  <c r="E43" i="3" s="1"/>
  <c r="AI64" i="4"/>
  <c r="AA67" i="4" l="1"/>
  <c r="X42" i="4"/>
  <c r="T53" i="4"/>
  <c r="T54" i="4" s="1"/>
  <c r="U42" i="4"/>
  <c r="V42" i="4"/>
  <c r="Z64" i="4"/>
  <c r="Z75" i="4" s="1"/>
  <c r="V75" i="4"/>
  <c r="V76" i="4" s="1"/>
  <c r="X64" i="4"/>
  <c r="T75" i="4"/>
  <c r="T76" i="4" s="1"/>
  <c r="U64" i="4"/>
  <c r="X85" i="4"/>
  <c r="T97" i="4"/>
  <c r="T98" i="4" s="1"/>
  <c r="Y85" i="4"/>
  <c r="V85" i="4"/>
  <c r="U86" i="4"/>
  <c r="Y86" i="4" s="1"/>
  <c r="V86" i="4"/>
  <c r="Z86" i="4" s="1"/>
  <c r="F53" i="4"/>
  <c r="B56" i="4"/>
  <c r="K54" i="4"/>
  <c r="K53" i="4"/>
  <c r="H55" i="4"/>
  <c r="B54" i="4"/>
  <c r="H54" i="4"/>
  <c r="H56" i="4"/>
  <c r="B55" i="4"/>
  <c r="AN54" i="4"/>
  <c r="AN55" i="4"/>
  <c r="K39" i="110"/>
  <c r="G43" i="3" s="1"/>
  <c r="R161" i="110"/>
  <c r="T161" i="110"/>
  <c r="O161" i="110"/>
  <c r="N161" i="110"/>
  <c r="W161" i="110"/>
  <c r="M161" i="110"/>
  <c r="S161" i="110"/>
  <c r="Q161" i="110"/>
  <c r="V161" i="110"/>
  <c r="X161" i="110"/>
  <c r="U161" i="110"/>
  <c r="P161" i="110"/>
  <c r="M161" i="1"/>
  <c r="X161" i="1"/>
  <c r="Q161" i="1"/>
  <c r="W161" i="1"/>
  <c r="V161" i="1"/>
  <c r="O161" i="1"/>
  <c r="U161" i="1"/>
  <c r="R161" i="1"/>
  <c r="N161" i="1"/>
  <c r="T161" i="1"/>
  <c r="S161" i="1"/>
  <c r="P161" i="1"/>
  <c r="Z42" i="4" l="1"/>
  <c r="Z53" i="4" s="1"/>
  <c r="V53" i="4"/>
  <c r="V54" i="4" s="1"/>
  <c r="Y42" i="4"/>
  <c r="Y53" i="4" s="1"/>
  <c r="U53" i="4"/>
  <c r="U54" i="4" s="1"/>
  <c r="X53" i="4"/>
  <c r="Y64" i="4"/>
  <c r="Y75" i="4" s="1"/>
  <c r="U75" i="4"/>
  <c r="U76" i="4" s="1"/>
  <c r="V77" i="4" s="1"/>
  <c r="X75" i="4"/>
  <c r="AA86" i="4"/>
  <c r="Z85" i="4"/>
  <c r="Z97" i="4" s="1"/>
  <c r="V97" i="4"/>
  <c r="V98" i="4" s="1"/>
  <c r="U97" i="4"/>
  <c r="U98" i="4" s="1"/>
  <c r="Y97" i="4"/>
  <c r="X97" i="4"/>
  <c r="P27" i="10"/>
  <c r="G132" i="1" s="1"/>
  <c r="Q27" i="10"/>
  <c r="H132" i="1" s="1"/>
  <c r="O27" i="10"/>
  <c r="F132" i="1" s="1"/>
  <c r="N26" i="10"/>
  <c r="G32" i="1" s="1"/>
  <c r="O26" i="10"/>
  <c r="F131" i="1" s="1"/>
  <c r="P26" i="10"/>
  <c r="G131" i="1" s="1"/>
  <c r="Q26" i="10"/>
  <c r="H131" i="1" s="1"/>
  <c r="N27" i="10"/>
  <c r="G33" i="1" s="1"/>
  <c r="O12" i="10"/>
  <c r="F149" i="110" s="1"/>
  <c r="Q12" i="10"/>
  <c r="O13" i="10"/>
  <c r="F150" i="110" s="1"/>
  <c r="P13" i="10"/>
  <c r="Q13" i="10"/>
  <c r="P12" i="10"/>
  <c r="P42" i="10"/>
  <c r="Q42" i="10"/>
  <c r="O42" i="10"/>
  <c r="N42" i="10"/>
  <c r="G49" i="1" s="1"/>
  <c r="O54" i="10"/>
  <c r="O40" i="10"/>
  <c r="Q41" i="10"/>
  <c r="P40" i="10"/>
  <c r="O75" i="10"/>
  <c r="Q38" i="10"/>
  <c r="O41" i="10"/>
  <c r="O39" i="10"/>
  <c r="O76" i="10"/>
  <c r="P54" i="10"/>
  <c r="P76" i="10"/>
  <c r="Q75" i="10"/>
  <c r="O38" i="10"/>
  <c r="P75" i="10"/>
  <c r="P41" i="10"/>
  <c r="Q40" i="10"/>
  <c r="Q39" i="10"/>
  <c r="P39" i="10"/>
  <c r="Q54" i="10"/>
  <c r="Q76" i="10"/>
  <c r="P38" i="10"/>
  <c r="N54" i="10"/>
  <c r="G61" i="1" s="1"/>
  <c r="N38" i="10"/>
  <c r="G45" i="1" s="1"/>
  <c r="N39" i="10"/>
  <c r="G46" i="1" s="1"/>
  <c r="N40" i="10"/>
  <c r="G47" i="1" s="1"/>
  <c r="N41" i="10"/>
  <c r="G48" i="1" s="1"/>
  <c r="AN56" i="4"/>
  <c r="I55" i="4"/>
  <c r="AG98" i="4"/>
  <c r="AG54" i="4"/>
  <c r="I54" i="4" s="1"/>
  <c r="AG76" i="4"/>
  <c r="AJ76" i="4" l="1"/>
  <c r="AA42" i="4"/>
  <c r="AA53" i="4" s="1"/>
  <c r="AJ55" i="4" s="1"/>
  <c r="V55" i="4"/>
  <c r="K56" i="4"/>
  <c r="AK56" i="4"/>
  <c r="AJ54" i="4"/>
  <c r="V99" i="4"/>
  <c r="AA64" i="4"/>
  <c r="AA75" i="4" s="1"/>
  <c r="AJ77" i="4" s="1"/>
  <c r="AJ98" i="4"/>
  <c r="AA85" i="4"/>
  <c r="AA97" i="4" s="1"/>
  <c r="AJ99" i="4" s="1"/>
  <c r="I99" i="4" s="1"/>
  <c r="I33" i="1"/>
  <c r="H131" i="110"/>
  <c r="G131" i="110"/>
  <c r="D68" i="6"/>
  <c r="I32" i="1"/>
  <c r="D76" i="6"/>
  <c r="H132" i="110"/>
  <c r="I61" i="1"/>
  <c r="K60" i="1" s="1"/>
  <c r="E46" i="3" s="1"/>
  <c r="G167" i="1"/>
  <c r="M167" i="1" s="1"/>
  <c r="I49" i="1"/>
  <c r="G165" i="1"/>
  <c r="I47" i="1"/>
  <c r="G164" i="1"/>
  <c r="I46" i="1"/>
  <c r="G163" i="1"/>
  <c r="I45" i="1"/>
  <c r="G166" i="1"/>
  <c r="I48" i="1"/>
  <c r="AG56" i="4"/>
  <c r="I76" i="4"/>
  <c r="AG78" i="4"/>
  <c r="I78" i="4" s="1"/>
  <c r="I58" i="4" s="1"/>
  <c r="AG100" i="4"/>
  <c r="I100" i="4" s="1"/>
  <c r="I80" i="4" s="1"/>
  <c r="N75" i="10" s="1"/>
  <c r="G83" i="1" s="1"/>
  <c r="I98" i="4"/>
  <c r="H68" i="6"/>
  <c r="H76" i="6"/>
  <c r="AJ78" i="4" l="1"/>
  <c r="AJ56" i="4"/>
  <c r="K100" i="4"/>
  <c r="AK100" i="4"/>
  <c r="AJ100" i="4"/>
  <c r="M132" i="1"/>
  <c r="K31" i="1"/>
  <c r="E42" i="3" s="1"/>
  <c r="O131" i="110"/>
  <c r="R131" i="110"/>
  <c r="P131" i="110"/>
  <c r="T131" i="110"/>
  <c r="W131" i="110"/>
  <c r="M131" i="110"/>
  <c r="S131" i="110"/>
  <c r="Q131" i="110"/>
  <c r="N131" i="110"/>
  <c r="V131" i="110"/>
  <c r="X131" i="110"/>
  <c r="U131" i="110"/>
  <c r="S132" i="1"/>
  <c r="T132" i="1"/>
  <c r="N131" i="1"/>
  <c r="R131" i="1"/>
  <c r="S131" i="1"/>
  <c r="X131" i="1"/>
  <c r="W131" i="1"/>
  <c r="V131" i="1"/>
  <c r="Q131" i="1"/>
  <c r="M131" i="1"/>
  <c r="T131" i="1"/>
  <c r="U131" i="1"/>
  <c r="O131" i="1"/>
  <c r="D72" i="6"/>
  <c r="P131" i="1"/>
  <c r="O132" i="1"/>
  <c r="P132" i="1"/>
  <c r="N132" i="1"/>
  <c r="X132" i="1"/>
  <c r="V132" i="1"/>
  <c r="W132" i="1"/>
  <c r="R132" i="1"/>
  <c r="Q132" i="1"/>
  <c r="U132" i="1"/>
  <c r="G132" i="110"/>
  <c r="C79" i="6"/>
  <c r="AB83" i="1"/>
  <c r="N79" i="10"/>
  <c r="G87" i="1" s="1"/>
  <c r="N78" i="10"/>
  <c r="G86" i="1" s="1"/>
  <c r="N77" i="10"/>
  <c r="G85" i="1" s="1"/>
  <c r="M164" i="1"/>
  <c r="N164" i="1"/>
  <c r="O164" i="1"/>
  <c r="T164" i="1"/>
  <c r="P164" i="1"/>
  <c r="Q164" i="1"/>
  <c r="R164" i="1"/>
  <c r="S164" i="1"/>
  <c r="U164" i="1"/>
  <c r="V164" i="1"/>
  <c r="W164" i="1"/>
  <c r="X164" i="1"/>
  <c r="M166" i="1"/>
  <c r="N166" i="1"/>
  <c r="O166" i="1"/>
  <c r="T166" i="1"/>
  <c r="P166" i="1"/>
  <c r="Q166" i="1"/>
  <c r="R166" i="1"/>
  <c r="S166" i="1"/>
  <c r="U166" i="1"/>
  <c r="V166" i="1"/>
  <c r="W166" i="1"/>
  <c r="X166" i="1"/>
  <c r="M165" i="1"/>
  <c r="N165" i="1"/>
  <c r="O165" i="1"/>
  <c r="X165" i="1"/>
  <c r="Q165" i="1"/>
  <c r="R165" i="1"/>
  <c r="S165" i="1"/>
  <c r="U165" i="1"/>
  <c r="V165" i="1"/>
  <c r="W165" i="1"/>
  <c r="P165" i="1"/>
  <c r="T165" i="1"/>
  <c r="M163" i="1"/>
  <c r="N163" i="1"/>
  <c r="O163" i="1"/>
  <c r="Q163" i="1"/>
  <c r="R163" i="1"/>
  <c r="S163" i="1"/>
  <c r="U163" i="1"/>
  <c r="V163" i="1"/>
  <c r="W163" i="1"/>
  <c r="X163" i="1"/>
  <c r="T163" i="1"/>
  <c r="P163" i="1"/>
  <c r="I56" i="4"/>
  <c r="I36" i="4" s="1"/>
  <c r="K44" i="1"/>
  <c r="E44" i="3" s="1"/>
  <c r="H72" i="6"/>
  <c r="G79" i="6"/>
  <c r="S144" i="1" l="1"/>
  <c r="S193" i="1" s="1"/>
  <c r="I9" i="3" s="1"/>
  <c r="X144" i="1"/>
  <c r="X193" i="1" s="1"/>
  <c r="N9" i="3" s="1"/>
  <c r="O144" i="1"/>
  <c r="O193" i="1" s="1"/>
  <c r="E9" i="3" s="1"/>
  <c r="T144" i="1"/>
  <c r="T193" i="1" s="1"/>
  <c r="J9" i="3" s="1"/>
  <c r="N144" i="1"/>
  <c r="N193" i="1" s="1"/>
  <c r="D9" i="3" s="1"/>
  <c r="U132" i="110"/>
  <c r="U144" i="110" s="1"/>
  <c r="U193" i="110" s="1"/>
  <c r="K14" i="3" s="1"/>
  <c r="X132" i="110"/>
  <c r="X144" i="110" s="1"/>
  <c r="X193" i="110" s="1"/>
  <c r="N14" i="3" s="1"/>
  <c r="N132" i="110"/>
  <c r="N144" i="110" s="1"/>
  <c r="N193" i="110" s="1"/>
  <c r="D14" i="3" s="1"/>
  <c r="M132" i="110"/>
  <c r="M144" i="110" s="1"/>
  <c r="O132" i="110"/>
  <c r="O144" i="110" s="1"/>
  <c r="O193" i="110" s="1"/>
  <c r="E14" i="3" s="1"/>
  <c r="T132" i="110"/>
  <c r="T144" i="110" s="1"/>
  <c r="T193" i="110" s="1"/>
  <c r="J14" i="3" s="1"/>
  <c r="R132" i="110"/>
  <c r="R144" i="110" s="1"/>
  <c r="R193" i="110" s="1"/>
  <c r="H14" i="3" s="1"/>
  <c r="W132" i="110"/>
  <c r="W144" i="110" s="1"/>
  <c r="W193" i="110" s="1"/>
  <c r="M14" i="3" s="1"/>
  <c r="S132" i="110"/>
  <c r="S144" i="110" s="1"/>
  <c r="S193" i="110" s="1"/>
  <c r="I14" i="3" s="1"/>
  <c r="V132" i="110"/>
  <c r="V144" i="110" s="1"/>
  <c r="V193" i="110" s="1"/>
  <c r="L14" i="3" s="1"/>
  <c r="Q132" i="110"/>
  <c r="Q144" i="110" s="1"/>
  <c r="Q193" i="110" s="1"/>
  <c r="G14" i="3" s="1"/>
  <c r="P132" i="110"/>
  <c r="P144" i="110" s="1"/>
  <c r="P193" i="110" s="1"/>
  <c r="F14" i="3" s="1"/>
  <c r="V144" i="1"/>
  <c r="V193" i="1" s="1"/>
  <c r="L9" i="3" s="1"/>
  <c r="P144" i="1"/>
  <c r="P193" i="1" s="1"/>
  <c r="F9" i="3" s="1"/>
  <c r="W144" i="1"/>
  <c r="W193" i="1" s="1"/>
  <c r="M9" i="3" s="1"/>
  <c r="U144" i="1"/>
  <c r="U193" i="1" s="1"/>
  <c r="K9" i="3" s="1"/>
  <c r="R144" i="1"/>
  <c r="R193" i="1" s="1"/>
  <c r="H9" i="3" s="1"/>
  <c r="AB86" i="1"/>
  <c r="AD86" i="1" s="1"/>
  <c r="H86" i="1" s="1"/>
  <c r="AB85" i="1"/>
  <c r="AD85" i="1" s="1"/>
  <c r="H85" i="1" s="1"/>
  <c r="AB87" i="1"/>
  <c r="AD87" i="1" s="1"/>
  <c r="H87" i="1" s="1"/>
  <c r="N13" i="10"/>
  <c r="G19" i="1" s="1"/>
  <c r="N15" i="10"/>
  <c r="G21" i="1" s="1"/>
  <c r="N14" i="10"/>
  <c r="G20" i="1" s="1"/>
  <c r="AD83" i="1"/>
  <c r="AB83" i="110"/>
  <c r="AD83" i="110" s="1"/>
  <c r="N76" i="10"/>
  <c r="G84" i="1" s="1"/>
  <c r="N12" i="10"/>
  <c r="G18" i="1" s="1"/>
  <c r="AI85" i="4"/>
  <c r="M193" i="110" l="1"/>
  <c r="I144" i="110"/>
  <c r="C77" i="6"/>
  <c r="C78" i="6"/>
  <c r="I87" i="1"/>
  <c r="H87" i="110"/>
  <c r="I87" i="110" s="1"/>
  <c r="I86" i="1"/>
  <c r="H86" i="110"/>
  <c r="I86" i="110" s="1"/>
  <c r="I85" i="1"/>
  <c r="H85" i="110"/>
  <c r="I85" i="110" s="1"/>
  <c r="AB84" i="1"/>
  <c r="H83" i="1"/>
  <c r="C67" i="6"/>
  <c r="C69" i="6"/>
  <c r="C68" i="6"/>
  <c r="C72" i="6"/>
  <c r="G151" i="1"/>
  <c r="R151" i="1" s="1"/>
  <c r="C74" i="6"/>
  <c r="C65" i="6"/>
  <c r="G151" i="110"/>
  <c r="I20" i="110"/>
  <c r="N43" i="3" s="1"/>
  <c r="G150" i="110"/>
  <c r="I19" i="110"/>
  <c r="N42" i="3" s="1"/>
  <c r="G152" i="110"/>
  <c r="I21" i="110"/>
  <c r="N44" i="3" s="1"/>
  <c r="G152" i="1"/>
  <c r="M152" i="1" s="1"/>
  <c r="I21" i="1"/>
  <c r="L44" i="3" s="1"/>
  <c r="I20" i="1"/>
  <c r="L43" i="3" s="1"/>
  <c r="C73" i="6"/>
  <c r="I19" i="1"/>
  <c r="L42" i="3" s="1"/>
  <c r="G150" i="1"/>
  <c r="X150" i="1" s="1"/>
  <c r="C75" i="6"/>
  <c r="C84" i="6"/>
  <c r="C92" i="6"/>
  <c r="C95" i="6"/>
  <c r="C86" i="6"/>
  <c r="C98" i="6"/>
  <c r="C97" i="6"/>
  <c r="C89" i="6"/>
  <c r="C85" i="6"/>
  <c r="C87" i="6"/>
  <c r="C99" i="6"/>
  <c r="C88" i="6"/>
  <c r="C90" i="6"/>
  <c r="C96" i="6"/>
  <c r="C82" i="6"/>
  <c r="C83" i="6"/>
  <c r="C80" i="6"/>
  <c r="C81" i="6"/>
  <c r="C76" i="6"/>
  <c r="C93" i="6"/>
  <c r="C94" i="6"/>
  <c r="G98" i="6"/>
  <c r="G96" i="6"/>
  <c r="G97" i="6"/>
  <c r="G99" i="6"/>
  <c r="G95" i="6"/>
  <c r="G92" i="6"/>
  <c r="G93" i="6"/>
  <c r="G94" i="6"/>
  <c r="G90" i="6"/>
  <c r="G89" i="6"/>
  <c r="G88" i="6"/>
  <c r="G87" i="6"/>
  <c r="G86" i="6"/>
  <c r="G85" i="6"/>
  <c r="G84" i="6"/>
  <c r="G83" i="6"/>
  <c r="G82" i="6"/>
  <c r="G74" i="6"/>
  <c r="G68" i="6"/>
  <c r="G81" i="6"/>
  <c r="G72" i="6"/>
  <c r="G73" i="6"/>
  <c r="G77" i="6"/>
  <c r="G76" i="6"/>
  <c r="G78" i="6"/>
  <c r="G67" i="6"/>
  <c r="G69" i="6"/>
  <c r="G80" i="6"/>
  <c r="G65" i="6"/>
  <c r="G75" i="6"/>
  <c r="C14" i="3" l="1"/>
  <c r="I193" i="110"/>
  <c r="I83" i="1"/>
  <c r="H83" i="110"/>
  <c r="I83" i="110" s="1"/>
  <c r="O151" i="1"/>
  <c r="Q151" i="1"/>
  <c r="U151" i="1"/>
  <c r="V151" i="1"/>
  <c r="W151" i="1"/>
  <c r="S151" i="1"/>
  <c r="N151" i="1"/>
  <c r="T151" i="1"/>
  <c r="X151" i="1"/>
  <c r="M151" i="1"/>
  <c r="P151" i="1"/>
  <c r="C71" i="6"/>
  <c r="C66" i="6"/>
  <c r="C70" i="6"/>
  <c r="T152" i="1"/>
  <c r="X152" i="1"/>
  <c r="Q150" i="110"/>
  <c r="M150" i="110"/>
  <c r="O150" i="110"/>
  <c r="P150" i="110"/>
  <c r="S150" i="110"/>
  <c r="U150" i="110"/>
  <c r="W150" i="110"/>
  <c r="N150" i="110"/>
  <c r="T150" i="110"/>
  <c r="V150" i="110"/>
  <c r="R150" i="110"/>
  <c r="X150" i="110"/>
  <c r="G149" i="110"/>
  <c r="I18" i="110"/>
  <c r="N41" i="3" s="1"/>
  <c r="P152" i="110"/>
  <c r="M152" i="110"/>
  <c r="T152" i="110"/>
  <c r="O152" i="110"/>
  <c r="X152" i="110"/>
  <c r="S152" i="110"/>
  <c r="V152" i="110"/>
  <c r="W152" i="110"/>
  <c r="N152" i="110"/>
  <c r="Q152" i="110"/>
  <c r="R152" i="110"/>
  <c r="U152" i="110"/>
  <c r="T151" i="110"/>
  <c r="S151" i="110"/>
  <c r="O151" i="110"/>
  <c r="W151" i="110"/>
  <c r="R151" i="110"/>
  <c r="N151" i="110"/>
  <c r="P151" i="110"/>
  <c r="V151" i="110"/>
  <c r="M151" i="110"/>
  <c r="U151" i="110"/>
  <c r="Q151" i="110"/>
  <c r="X151" i="110"/>
  <c r="AB84" i="110"/>
  <c r="AD84" i="110" s="1"/>
  <c r="Q152" i="1"/>
  <c r="S152" i="1"/>
  <c r="W152" i="1"/>
  <c r="N152" i="1"/>
  <c r="P152" i="1"/>
  <c r="U152" i="1"/>
  <c r="R152" i="1"/>
  <c r="O152" i="1"/>
  <c r="V152" i="1"/>
  <c r="M150" i="1"/>
  <c r="S150" i="1"/>
  <c r="U150" i="1"/>
  <c r="P150" i="1"/>
  <c r="Q150" i="1"/>
  <c r="W150" i="1"/>
  <c r="T150" i="1"/>
  <c r="V150" i="1"/>
  <c r="R150" i="1"/>
  <c r="N150" i="1"/>
  <c r="O150" i="1"/>
  <c r="I18" i="1"/>
  <c r="L41" i="3" s="1"/>
  <c r="G149" i="1"/>
  <c r="AD84" i="1"/>
  <c r="H84" i="1" s="1"/>
  <c r="H84" i="110" s="1"/>
  <c r="G66" i="6"/>
  <c r="G71" i="6"/>
  <c r="G70" i="6"/>
  <c r="I84" i="110" l="1"/>
  <c r="D63" i="6"/>
  <c r="K17" i="110"/>
  <c r="G41" i="3" s="1"/>
  <c r="U149" i="110"/>
  <c r="Q149" i="110"/>
  <c r="V149" i="110"/>
  <c r="T149" i="110"/>
  <c r="P149" i="110"/>
  <c r="X149" i="110"/>
  <c r="S149" i="110"/>
  <c r="O149" i="110"/>
  <c r="W149" i="110"/>
  <c r="N149" i="110"/>
  <c r="R149" i="110"/>
  <c r="M149" i="110"/>
  <c r="M149" i="1"/>
  <c r="T149" i="1"/>
  <c r="T172" i="1" s="1"/>
  <c r="S149" i="1"/>
  <c r="S172" i="1" s="1"/>
  <c r="Q149" i="1"/>
  <c r="U149" i="1"/>
  <c r="N149" i="1"/>
  <c r="N172" i="1" s="1"/>
  <c r="X149" i="1"/>
  <c r="W149" i="1"/>
  <c r="W172" i="1" s="1"/>
  <c r="R149" i="1"/>
  <c r="R172" i="1" s="1"/>
  <c r="P149" i="1"/>
  <c r="V149" i="1"/>
  <c r="O149" i="1"/>
  <c r="O172" i="1" s="1"/>
  <c r="I84" i="1"/>
  <c r="N51" i="3"/>
  <c r="K17" i="1"/>
  <c r="E41" i="3" s="1"/>
  <c r="L51" i="3"/>
  <c r="M144" i="1"/>
  <c r="M193" i="1" s="1"/>
  <c r="K78" i="110" l="1"/>
  <c r="G49" i="3" s="1"/>
  <c r="G51" i="3" s="1"/>
  <c r="I98" i="110"/>
  <c r="I107" i="110" s="1"/>
  <c r="N172" i="110"/>
  <c r="X172" i="110"/>
  <c r="Q172" i="110"/>
  <c r="W172" i="110"/>
  <c r="P172" i="110"/>
  <c r="U172" i="110"/>
  <c r="M172" i="110"/>
  <c r="O172" i="110"/>
  <c r="T172" i="110"/>
  <c r="R172" i="110"/>
  <c r="S172" i="110"/>
  <c r="V172" i="110"/>
  <c r="K78" i="1"/>
  <c r="I98" i="1"/>
  <c r="V172" i="1"/>
  <c r="X172" i="1"/>
  <c r="P172" i="1"/>
  <c r="U172" i="1"/>
  <c r="Q172" i="1"/>
  <c r="M172" i="1"/>
  <c r="Q144" i="1"/>
  <c r="N191" i="110"/>
  <c r="R191" i="110"/>
  <c r="V191" i="110"/>
  <c r="M191" i="110"/>
  <c r="W191" i="110"/>
  <c r="O191" i="110"/>
  <c r="S191" i="110"/>
  <c r="X191" i="110"/>
  <c r="T191" i="110"/>
  <c r="U191" i="110"/>
  <c r="Q191" i="110"/>
  <c r="P191" i="110"/>
  <c r="I107" i="1" l="1"/>
  <c r="X110" i="1" s="1"/>
  <c r="X190" i="1" s="1"/>
  <c r="AB98" i="1"/>
  <c r="T110" i="110"/>
  <c r="T190" i="110" s="1"/>
  <c r="T239" i="110" s="1"/>
  <c r="I203" i="110"/>
  <c r="I195" i="110"/>
  <c r="P110" i="110"/>
  <c r="P190" i="110" s="1"/>
  <c r="P239" i="110" s="1"/>
  <c r="N110" i="110"/>
  <c r="N190" i="110" s="1"/>
  <c r="N239" i="110" s="1"/>
  <c r="Q110" i="110"/>
  <c r="Q190" i="110" s="1"/>
  <c r="Q239" i="110" s="1"/>
  <c r="V110" i="110"/>
  <c r="V190" i="110" s="1"/>
  <c r="V229" i="110" s="1"/>
  <c r="U110" i="110"/>
  <c r="U190" i="110" s="1"/>
  <c r="U239" i="110" s="1"/>
  <c r="I191" i="110"/>
  <c r="M192" i="110"/>
  <c r="C13" i="3" s="1"/>
  <c r="R192" i="110"/>
  <c r="R194" i="110" s="1"/>
  <c r="O110" i="110"/>
  <c r="O190" i="110" s="1"/>
  <c r="O239" i="110" s="1"/>
  <c r="R110" i="110"/>
  <c r="R190" i="110" s="1"/>
  <c r="R239" i="110" s="1"/>
  <c r="X110" i="110"/>
  <c r="X190" i="110" s="1"/>
  <c r="X239" i="110" s="1"/>
  <c r="I244" i="110"/>
  <c r="I258" i="110" s="1"/>
  <c r="I263" i="110" s="1"/>
  <c r="I266" i="110" s="1"/>
  <c r="P192" i="110"/>
  <c r="P194" i="110" s="1"/>
  <c r="N192" i="110"/>
  <c r="N194" i="110" s="1"/>
  <c r="W110" i="110"/>
  <c r="W190" i="110" s="1"/>
  <c r="W239" i="110" s="1"/>
  <c r="S110" i="110"/>
  <c r="S190" i="110" s="1"/>
  <c r="S239" i="110" s="1"/>
  <c r="M110" i="110"/>
  <c r="M190" i="110" s="1"/>
  <c r="M239" i="110" s="1"/>
  <c r="V192" i="110"/>
  <c r="V194" i="110" s="1"/>
  <c r="O192" i="110"/>
  <c r="O194" i="110" s="1"/>
  <c r="W192" i="110"/>
  <c r="M13" i="3" s="1"/>
  <c r="S192" i="110"/>
  <c r="U192" i="110"/>
  <c r="Q192" i="110"/>
  <c r="I172" i="110"/>
  <c r="X192" i="110"/>
  <c r="T192" i="110"/>
  <c r="E49" i="3"/>
  <c r="Q193" i="1"/>
  <c r="I193" i="1" s="1"/>
  <c r="I297" i="1"/>
  <c r="M297" i="1" s="1"/>
  <c r="I172" i="1"/>
  <c r="I144" i="1"/>
  <c r="C9" i="3"/>
  <c r="S191" i="1"/>
  <c r="P191" i="1"/>
  <c r="T191" i="1"/>
  <c r="U191" i="1"/>
  <c r="Q191" i="1"/>
  <c r="X191" i="1"/>
  <c r="V191" i="1"/>
  <c r="W191" i="1"/>
  <c r="R191" i="1"/>
  <c r="M191" i="1"/>
  <c r="O191" i="1"/>
  <c r="N191" i="1"/>
  <c r="N110" i="1" l="1"/>
  <c r="N190" i="1" s="1"/>
  <c r="N271" i="1" s="1"/>
  <c r="Q110" i="1"/>
  <c r="Q190" i="1" s="1"/>
  <c r="Q271" i="1" s="1"/>
  <c r="S110" i="1"/>
  <c r="S190" i="1" s="1"/>
  <c r="S271" i="1" s="1"/>
  <c r="W110" i="1"/>
  <c r="W190" i="1" s="1"/>
  <c r="W262" i="1" s="1"/>
  <c r="T110" i="1"/>
  <c r="T190" i="1" s="1"/>
  <c r="T271" i="1" s="1"/>
  <c r="O110" i="1"/>
  <c r="O190" i="1" s="1"/>
  <c r="O271" i="1" s="1"/>
  <c r="P110" i="1"/>
  <c r="P190" i="1" s="1"/>
  <c r="P261" i="1" s="1"/>
  <c r="R110" i="1"/>
  <c r="R190" i="1" s="1"/>
  <c r="R271" i="1" s="1"/>
  <c r="U110" i="1"/>
  <c r="U190" i="1" s="1"/>
  <c r="U261" i="1" s="1"/>
  <c r="I203" i="1"/>
  <c r="H17" i="102" s="1"/>
  <c r="H24" i="102" s="1"/>
  <c r="V110" i="1"/>
  <c r="V190" i="1" s="1"/>
  <c r="V261" i="1" s="1"/>
  <c r="V270" i="1" s="1"/>
  <c r="M110" i="1"/>
  <c r="M190" i="1" s="1"/>
  <c r="M261" i="1" s="1"/>
  <c r="I276" i="1"/>
  <c r="I290" i="1" s="1"/>
  <c r="M290" i="1" s="1"/>
  <c r="I195" i="1"/>
  <c r="I191" i="1"/>
  <c r="M192" i="1"/>
  <c r="M194" i="1" s="1"/>
  <c r="Q192" i="1"/>
  <c r="Q194" i="1" s="1"/>
  <c r="X192" i="1"/>
  <c r="X194" i="1" s="1"/>
  <c r="T192" i="1"/>
  <c r="T194" i="1" s="1"/>
  <c r="P192" i="1"/>
  <c r="P194" i="1" s="1"/>
  <c r="R192" i="1"/>
  <c r="H8" i="3" s="1"/>
  <c r="U192" i="1"/>
  <c r="U194" i="1" s="1"/>
  <c r="O192" i="1"/>
  <c r="O194" i="1" s="1"/>
  <c r="W192" i="1"/>
  <c r="W194" i="1" s="1"/>
  <c r="S192" i="1"/>
  <c r="S194" i="1" s="1"/>
  <c r="S196" i="1" s="1"/>
  <c r="V192" i="1"/>
  <c r="L8" i="3" s="1"/>
  <c r="N192" i="1"/>
  <c r="N194" i="1" s="1"/>
  <c r="I205" i="1"/>
  <c r="B157" i="6" s="1"/>
  <c r="T229" i="110"/>
  <c r="T238" i="110" s="1"/>
  <c r="T230" i="110"/>
  <c r="P230" i="110"/>
  <c r="O196" i="110"/>
  <c r="O234" i="110" s="1"/>
  <c r="H13" i="3"/>
  <c r="Q229" i="110"/>
  <c r="Q236" i="110" s="1"/>
  <c r="W229" i="110"/>
  <c r="W238" i="110" s="1"/>
  <c r="R196" i="110"/>
  <c r="R231" i="110" s="1"/>
  <c r="V230" i="110"/>
  <c r="V196" i="110"/>
  <c r="V235" i="110" s="1"/>
  <c r="N196" i="110"/>
  <c r="N233" i="110" s="1"/>
  <c r="R229" i="110"/>
  <c r="R236" i="110" s="1"/>
  <c r="F13" i="3"/>
  <c r="W194" i="110"/>
  <c r="W196" i="110" s="1"/>
  <c r="W233" i="110" s="1"/>
  <c r="E13" i="3"/>
  <c r="S229" i="110"/>
  <c r="S236" i="110" s="1"/>
  <c r="U229" i="110"/>
  <c r="U238" i="110" s="1"/>
  <c r="S230" i="110"/>
  <c r="P229" i="110"/>
  <c r="P238" i="110" s="1"/>
  <c r="P196" i="110"/>
  <c r="P235" i="110" s="1"/>
  <c r="N229" i="110"/>
  <c r="N237" i="110" s="1"/>
  <c r="M194" i="110"/>
  <c r="M196" i="110" s="1"/>
  <c r="M235" i="110" s="1"/>
  <c r="U230" i="110"/>
  <c r="N230" i="110"/>
  <c r="R230" i="110"/>
  <c r="V239" i="110"/>
  <c r="I239" i="110" s="1"/>
  <c r="D13" i="3"/>
  <c r="O229" i="110"/>
  <c r="O238" i="110" s="1"/>
  <c r="Q230" i="110"/>
  <c r="I110" i="110"/>
  <c r="W230" i="110"/>
  <c r="L13" i="3"/>
  <c r="X229" i="110"/>
  <c r="X236" i="110" s="1"/>
  <c r="X230" i="110"/>
  <c r="O230" i="110"/>
  <c r="X262" i="1"/>
  <c r="X261" i="1"/>
  <c r="X271" i="1"/>
  <c r="E51" i="3"/>
  <c r="V238" i="110"/>
  <c r="V236" i="110"/>
  <c r="V237" i="110"/>
  <c r="M230" i="110"/>
  <c r="M229" i="110"/>
  <c r="X194" i="110"/>
  <c r="X196" i="110" s="1"/>
  <c r="N13" i="3"/>
  <c r="U194" i="110"/>
  <c r="U196" i="110" s="1"/>
  <c r="K13" i="3"/>
  <c r="T194" i="110"/>
  <c r="T196" i="110" s="1"/>
  <c r="J13" i="3"/>
  <c r="S194" i="110"/>
  <c r="S196" i="110" s="1"/>
  <c r="I13" i="3"/>
  <c r="Q194" i="110"/>
  <c r="Q196" i="110" s="1"/>
  <c r="G13" i="3"/>
  <c r="I192" i="110"/>
  <c r="I190" i="110"/>
  <c r="B121" i="6"/>
  <c r="G9" i="3"/>
  <c r="D121" i="6"/>
  <c r="D157" i="6"/>
  <c r="I8" i="3" l="1"/>
  <c r="N262" i="1"/>
  <c r="G8" i="3"/>
  <c r="U262" i="1"/>
  <c r="F8" i="3"/>
  <c r="W271" i="1"/>
  <c r="N8" i="3"/>
  <c r="J8" i="3"/>
  <c r="D8" i="3"/>
  <c r="S261" i="1"/>
  <c r="S269" i="1" s="1"/>
  <c r="V194" i="1"/>
  <c r="V196" i="1" s="1"/>
  <c r="V263" i="1" s="1"/>
  <c r="U271" i="1"/>
  <c r="Q261" i="1"/>
  <c r="Q268" i="1" s="1"/>
  <c r="Q262" i="1"/>
  <c r="N261" i="1"/>
  <c r="N269" i="1" s="1"/>
  <c r="B156" i="6"/>
  <c r="S262" i="1"/>
  <c r="V271" i="1"/>
  <c r="X196" i="1"/>
  <c r="X266" i="1" s="1"/>
  <c r="O262" i="1"/>
  <c r="M271" i="1"/>
  <c r="M262" i="1"/>
  <c r="W261" i="1"/>
  <c r="W270" i="1" s="1"/>
  <c r="Q196" i="1"/>
  <c r="Q267" i="1" s="1"/>
  <c r="O261" i="1"/>
  <c r="O270" i="1" s="1"/>
  <c r="O196" i="1"/>
  <c r="O267" i="1" s="1"/>
  <c r="U196" i="1"/>
  <c r="U198" i="1" s="1"/>
  <c r="K7" i="3" s="1"/>
  <c r="T196" i="1"/>
  <c r="T267" i="1" s="1"/>
  <c r="V262" i="1"/>
  <c r="W196" i="1"/>
  <c r="W264" i="1" s="1"/>
  <c r="M196" i="1"/>
  <c r="M263" i="1" s="1"/>
  <c r="E8" i="3"/>
  <c r="R194" i="1"/>
  <c r="R196" i="1" s="1"/>
  <c r="R265" i="1" s="1"/>
  <c r="P262" i="1"/>
  <c r="I190" i="1"/>
  <c r="AA191" i="1" s="1"/>
  <c r="I295" i="1"/>
  <c r="I298" i="1" s="1"/>
  <c r="M298" i="1" s="1"/>
  <c r="P271" i="1"/>
  <c r="T261" i="1"/>
  <c r="T270" i="1" s="1"/>
  <c r="I110" i="1"/>
  <c r="B118" i="6" s="1"/>
  <c r="C8" i="3"/>
  <c r="M8" i="3"/>
  <c r="R261" i="1"/>
  <c r="R269" i="1" s="1"/>
  <c r="R262" i="1"/>
  <c r="T262" i="1"/>
  <c r="P196" i="1"/>
  <c r="P265" i="1" s="1"/>
  <c r="N196" i="1"/>
  <c r="N267" i="1" s="1"/>
  <c r="K8" i="3"/>
  <c r="I192" i="1"/>
  <c r="AA192" i="1" s="1"/>
  <c r="T236" i="110"/>
  <c r="T237" i="110"/>
  <c r="V268" i="1"/>
  <c r="V269" i="1"/>
  <c r="I206" i="1"/>
  <c r="H18" i="102"/>
  <c r="M263" i="110"/>
  <c r="M258" i="110"/>
  <c r="E15" i="3"/>
  <c r="O235" i="110"/>
  <c r="O198" i="110"/>
  <c r="E12" i="3" s="1"/>
  <c r="O231" i="110"/>
  <c r="O232" i="110"/>
  <c r="O233" i="110"/>
  <c r="U237" i="110"/>
  <c r="W236" i="110"/>
  <c r="N232" i="110"/>
  <c r="Q237" i="110"/>
  <c r="R238" i="110"/>
  <c r="N198" i="110"/>
  <c r="D12" i="3" s="1"/>
  <c r="W237" i="110"/>
  <c r="N235" i="110"/>
  <c r="R233" i="110"/>
  <c r="R237" i="110"/>
  <c r="R232" i="110"/>
  <c r="R235" i="110"/>
  <c r="R198" i="110"/>
  <c r="H12" i="3" s="1"/>
  <c r="D15" i="3"/>
  <c r="N231" i="110"/>
  <c r="N234" i="110"/>
  <c r="S237" i="110"/>
  <c r="R234" i="110"/>
  <c r="H15" i="3"/>
  <c r="P237" i="110"/>
  <c r="N236" i="110"/>
  <c r="V232" i="110"/>
  <c r="Q238" i="110"/>
  <c r="W234" i="110"/>
  <c r="W198" i="110"/>
  <c r="M12" i="3" s="1"/>
  <c r="V198" i="110"/>
  <c r="L12" i="3" s="1"/>
  <c r="P234" i="110"/>
  <c r="L15" i="3"/>
  <c r="V231" i="110"/>
  <c r="V234" i="110"/>
  <c r="W231" i="110"/>
  <c r="W235" i="110"/>
  <c r="X238" i="110"/>
  <c r="M15" i="3"/>
  <c r="V233" i="110"/>
  <c r="W232" i="110"/>
  <c r="F15" i="3"/>
  <c r="P232" i="110"/>
  <c r="O236" i="110"/>
  <c r="P198" i="110"/>
  <c r="F12" i="3" s="1"/>
  <c r="P233" i="110"/>
  <c r="U236" i="110"/>
  <c r="O237" i="110"/>
  <c r="P231" i="110"/>
  <c r="M233" i="110"/>
  <c r="M234" i="110"/>
  <c r="S238" i="110"/>
  <c r="P236" i="110"/>
  <c r="M232" i="110"/>
  <c r="M198" i="110"/>
  <c r="C12" i="3" s="1"/>
  <c r="C15" i="3"/>
  <c r="M231" i="110"/>
  <c r="N238" i="110"/>
  <c r="X237" i="110"/>
  <c r="I230" i="110"/>
  <c r="J107" i="3" s="1"/>
  <c r="N107" i="3" s="1"/>
  <c r="I229" i="110"/>
  <c r="J104" i="3" s="1"/>
  <c r="N104" i="3" s="1"/>
  <c r="X270" i="1"/>
  <c r="X269" i="1"/>
  <c r="X268" i="1"/>
  <c r="S267" i="1"/>
  <c r="S266" i="1"/>
  <c r="S265" i="1"/>
  <c r="S264" i="1"/>
  <c r="S263" i="1"/>
  <c r="M268" i="1"/>
  <c r="M270" i="1"/>
  <c r="M269" i="1"/>
  <c r="U269" i="1"/>
  <c r="U268" i="1"/>
  <c r="U270" i="1"/>
  <c r="P270" i="1"/>
  <c r="P269" i="1"/>
  <c r="P268" i="1"/>
  <c r="X235" i="110"/>
  <c r="X234" i="110"/>
  <c r="X233" i="110"/>
  <c r="X232" i="110"/>
  <c r="X231" i="110"/>
  <c r="S235" i="110"/>
  <c r="S234" i="110"/>
  <c r="S233" i="110"/>
  <c r="S232" i="110"/>
  <c r="S231" i="110"/>
  <c r="Q235" i="110"/>
  <c r="Q234" i="110"/>
  <c r="Q233" i="110"/>
  <c r="Q232" i="110"/>
  <c r="Q231" i="110"/>
  <c r="T235" i="110"/>
  <c r="T234" i="110"/>
  <c r="T233" i="110"/>
  <c r="T232" i="110"/>
  <c r="T231" i="110"/>
  <c r="M238" i="110"/>
  <c r="M237" i="110"/>
  <c r="M236" i="110"/>
  <c r="U235" i="110"/>
  <c r="U234" i="110"/>
  <c r="U233" i="110"/>
  <c r="U232" i="110"/>
  <c r="U231" i="110"/>
  <c r="N15" i="3"/>
  <c r="X198" i="110"/>
  <c r="N12" i="3" s="1"/>
  <c r="U198" i="110"/>
  <c r="K12" i="3" s="1"/>
  <c r="K15" i="3"/>
  <c r="T198" i="110"/>
  <c r="J12" i="3" s="1"/>
  <c r="J15" i="3"/>
  <c r="S198" i="110"/>
  <c r="I12" i="3" s="1"/>
  <c r="I15" i="3"/>
  <c r="G15" i="3"/>
  <c r="Q198" i="110"/>
  <c r="G12" i="3" s="1"/>
  <c r="M266" i="110"/>
  <c r="I299" i="1"/>
  <c r="M299" i="1" s="1"/>
  <c r="I10" i="3"/>
  <c r="S198" i="1"/>
  <c r="I7" i="3" s="1"/>
  <c r="D156" i="6"/>
  <c r="D118" i="6"/>
  <c r="S270" i="1" l="1"/>
  <c r="S268" i="1"/>
  <c r="Q269" i="1"/>
  <c r="N268" i="1"/>
  <c r="N270" i="1"/>
  <c r="Q270" i="1"/>
  <c r="E10" i="3"/>
  <c r="O268" i="1"/>
  <c r="X267" i="1"/>
  <c r="N10" i="3"/>
  <c r="O269" i="1"/>
  <c r="X265" i="1"/>
  <c r="X263" i="1"/>
  <c r="X198" i="1"/>
  <c r="N7" i="3" s="1"/>
  <c r="X264" i="1"/>
  <c r="Q198" i="1"/>
  <c r="G7" i="3" s="1"/>
  <c r="G10" i="3"/>
  <c r="W268" i="1"/>
  <c r="W269" i="1"/>
  <c r="Q265" i="1"/>
  <c r="R264" i="1"/>
  <c r="R263" i="1"/>
  <c r="R266" i="1"/>
  <c r="O263" i="1"/>
  <c r="R267" i="1"/>
  <c r="O264" i="1"/>
  <c r="H10" i="3"/>
  <c r="O265" i="1"/>
  <c r="O198" i="1"/>
  <c r="E7" i="3" s="1"/>
  <c r="R198" i="1"/>
  <c r="H7" i="3" s="1"/>
  <c r="O266" i="1"/>
  <c r="Q264" i="1"/>
  <c r="U263" i="1"/>
  <c r="Q266" i="1"/>
  <c r="Q263" i="1"/>
  <c r="U266" i="1"/>
  <c r="U267" i="1"/>
  <c r="K10" i="3"/>
  <c r="U264" i="1"/>
  <c r="U265" i="1"/>
  <c r="L10" i="3"/>
  <c r="V264" i="1"/>
  <c r="V198" i="1"/>
  <c r="L7" i="3" s="1"/>
  <c r="V265" i="1"/>
  <c r="V266" i="1"/>
  <c r="V267" i="1"/>
  <c r="F10" i="3"/>
  <c r="D10" i="3"/>
  <c r="M10" i="3"/>
  <c r="R270" i="1"/>
  <c r="T265" i="1"/>
  <c r="M264" i="1"/>
  <c r="J10" i="3"/>
  <c r="M265" i="1"/>
  <c r="T263" i="1"/>
  <c r="C10" i="3"/>
  <c r="M295" i="1"/>
  <c r="M198" i="1"/>
  <c r="C7" i="3" s="1"/>
  <c r="M267" i="1"/>
  <c r="T264" i="1"/>
  <c r="T266" i="1"/>
  <c r="T198" i="1"/>
  <c r="J7" i="3" s="1"/>
  <c r="M266" i="1"/>
  <c r="W266" i="1"/>
  <c r="W265" i="1"/>
  <c r="W267" i="1"/>
  <c r="P266" i="1"/>
  <c r="W263" i="1"/>
  <c r="W198" i="1"/>
  <c r="M7" i="3" s="1"/>
  <c r="I262" i="1"/>
  <c r="H107" i="3" s="1"/>
  <c r="L107" i="3" s="1"/>
  <c r="P267" i="1"/>
  <c r="P198" i="1"/>
  <c r="F7" i="3" s="1"/>
  <c r="P263" i="1"/>
  <c r="P264" i="1"/>
  <c r="R268" i="1"/>
  <c r="I261" i="1"/>
  <c r="H102" i="3" s="1"/>
  <c r="L102" i="3" s="1"/>
  <c r="T268" i="1"/>
  <c r="T269" i="1"/>
  <c r="D117" i="6"/>
  <c r="N198" i="1"/>
  <c r="D7" i="3" s="1"/>
  <c r="N263" i="1"/>
  <c r="N264" i="1"/>
  <c r="N265" i="1"/>
  <c r="N266" i="1"/>
  <c r="H19" i="102"/>
  <c r="J97" i="3"/>
  <c r="N97" i="3" s="1"/>
  <c r="I236" i="110"/>
  <c r="K97" i="3" s="1"/>
  <c r="O97" i="3" s="1"/>
  <c r="J98" i="3"/>
  <c r="N98" i="3" s="1"/>
  <c r="I237" i="110"/>
  <c r="K99" i="3" s="1"/>
  <c r="O99" i="3" s="1"/>
  <c r="I238" i="110"/>
  <c r="K100" i="3" s="1"/>
  <c r="O100" i="3" s="1"/>
  <c r="J102" i="3"/>
  <c r="N102" i="3" s="1"/>
  <c r="J99" i="3"/>
  <c r="N99" i="3" s="1"/>
  <c r="J103" i="3"/>
  <c r="N103" i="3" s="1"/>
  <c r="J105" i="3"/>
  <c r="N105" i="3" s="1"/>
  <c r="J101" i="3"/>
  <c r="N101" i="3" s="1"/>
  <c r="J106" i="3"/>
  <c r="N106" i="3" s="1"/>
  <c r="J100" i="3"/>
  <c r="N100" i="3" s="1"/>
  <c r="I271" i="1"/>
  <c r="I233" i="110"/>
  <c r="K108" i="3" s="1"/>
  <c r="O108" i="3" s="1"/>
  <c r="I234" i="110"/>
  <c r="K98" i="3" s="1"/>
  <c r="O98" i="3" s="1"/>
  <c r="I232" i="110"/>
  <c r="I235" i="110"/>
  <c r="K101" i="3" s="1"/>
  <c r="O101" i="3" s="1"/>
  <c r="I231" i="110"/>
  <c r="I198" i="110"/>
  <c r="I270" i="1" l="1"/>
  <c r="I100" i="3" s="1"/>
  <c r="M100" i="3" s="1"/>
  <c r="I269" i="1"/>
  <c r="I99" i="3" s="1"/>
  <c r="M99" i="3" s="1"/>
  <c r="H100" i="3"/>
  <c r="L100" i="3" s="1"/>
  <c r="H98" i="3"/>
  <c r="L98" i="3" s="1"/>
  <c r="I268" i="1"/>
  <c r="I97" i="3" s="1"/>
  <c r="M97" i="3" s="1"/>
  <c r="H99" i="3"/>
  <c r="L99" i="3" s="1"/>
  <c r="I198" i="1"/>
  <c r="I199" i="1" s="1"/>
  <c r="I263" i="1"/>
  <c r="I264" i="1"/>
  <c r="I266" i="1"/>
  <c r="I98" i="3" s="1"/>
  <c r="M98" i="3" s="1"/>
  <c r="I265" i="1"/>
  <c r="I108" i="3" s="1"/>
  <c r="M108" i="3" s="1"/>
  <c r="I267" i="1"/>
  <c r="I101" i="3" s="1"/>
  <c r="M101" i="3" s="1"/>
  <c r="H101" i="3"/>
  <c r="L101" i="3" s="1"/>
  <c r="H106" i="3"/>
  <c r="L106" i="3" s="1"/>
  <c r="H105" i="3"/>
  <c r="L105" i="3" s="1"/>
  <c r="H103" i="3"/>
  <c r="L103" i="3" s="1"/>
  <c r="H104" i="3"/>
  <c r="L104" i="3" s="1"/>
  <c r="H97" i="3"/>
  <c r="L97" i="3" s="1"/>
  <c r="N109" i="3"/>
  <c r="J109" i="3"/>
  <c r="K96" i="3"/>
  <c r="K109" i="3" s="1"/>
  <c r="I199" i="110"/>
  <c r="I221" i="1"/>
  <c r="I217" i="110"/>
  <c r="I219" i="110"/>
  <c r="I209" i="110"/>
  <c r="I222" i="1"/>
  <c r="I218" i="110"/>
  <c r="I212" i="1"/>
  <c r="D9" i="102" l="1"/>
  <c r="H9" i="102" s="1"/>
  <c r="I219" i="1"/>
  <c r="I228" i="1" s="1"/>
  <c r="I96" i="3"/>
  <c r="I109" i="3" s="1"/>
  <c r="AA264" i="1"/>
  <c r="D7" i="102"/>
  <c r="H7" i="102" s="1"/>
  <c r="AA262" i="1"/>
  <c r="L109" i="3"/>
  <c r="H109" i="3"/>
  <c r="I216" i="110"/>
  <c r="I222" i="110"/>
  <c r="O96" i="3"/>
  <c r="O109" i="3" s="1"/>
  <c r="I207" i="110"/>
  <c r="B184" i="6"/>
  <c r="G16" i="2"/>
  <c r="D184" i="6"/>
  <c r="D13" i="102" l="1"/>
  <c r="M96" i="3"/>
  <c r="M109" i="3" s="1"/>
  <c r="Y109" i="3"/>
  <c r="I223" i="110"/>
  <c r="G28" i="2"/>
  <c r="G135" i="2"/>
  <c r="H138" i="2" s="1"/>
  <c r="H144" i="2" s="1"/>
  <c r="G15" i="2"/>
  <c r="G133" i="2" s="1"/>
  <c r="I225" i="1" l="1"/>
  <c r="G151" i="2"/>
  <c r="G155" i="2" s="1"/>
  <c r="I151" i="2"/>
  <c r="H151" i="2"/>
  <c r="AA225" i="1" l="1"/>
  <c r="I227" i="1"/>
  <c r="I2" i="1" s="1"/>
  <c r="I153" i="2"/>
  <c r="I155" i="2"/>
  <c r="H153" i="2"/>
  <c r="H155" i="2"/>
  <c r="G153" i="2"/>
  <c r="J151" i="2"/>
  <c r="D14" i="102" l="1"/>
  <c r="H14" i="102" s="1"/>
  <c r="AA227" i="1"/>
  <c r="B162" i="6"/>
  <c r="J2" i="4"/>
  <c r="O2" i="3"/>
  <c r="H2" i="10"/>
  <c r="K2" i="2"/>
  <c r="H2" i="6"/>
  <c r="I2" i="9"/>
  <c r="J153" i="2"/>
  <c r="G180" i="2" s="1"/>
  <c r="G34" i="2" s="1"/>
  <c r="G39" i="2" s="1"/>
  <c r="P39" i="2" s="1"/>
  <c r="J155" i="2"/>
  <c r="G41" i="2" s="1"/>
  <c r="P41" i="2" s="1"/>
  <c r="G178" i="2"/>
  <c r="G30" i="2" s="1"/>
  <c r="I220" i="1"/>
  <c r="D162" i="6"/>
  <c r="D8" i="102" l="1"/>
  <c r="H8" i="102" s="1"/>
  <c r="G37" i="2"/>
  <c r="P37" i="2" s="1"/>
  <c r="I230" i="1"/>
  <c r="B51" i="6" s="1"/>
  <c r="B183" i="6"/>
  <c r="G40" i="2"/>
  <c r="W39" i="2"/>
  <c r="I229" i="1"/>
  <c r="H20" i="102"/>
  <c r="D51" i="6"/>
  <c r="D183" i="6"/>
  <c r="W37" i="2" l="1"/>
  <c r="B185" i="6"/>
  <c r="D27" i="6"/>
  <c r="H21" i="102"/>
  <c r="AA230" i="1"/>
  <c r="I214" i="1"/>
  <c r="B187" i="6"/>
  <c r="D185" i="6"/>
  <c r="D187" i="6"/>
  <c r="AA228" i="1" l="1"/>
  <c r="D10" i="102"/>
  <c r="D161" i="6"/>
  <c r="D198" i="6" l="1"/>
  <c r="O14" i="3" l="1"/>
  <c r="O9" i="3"/>
  <c r="O13" i="3"/>
  <c r="O8" i="3"/>
  <c r="O12" i="3"/>
  <c r="O7" i="3"/>
  <c r="B186" i="6"/>
  <c r="I231" i="1"/>
  <c r="H15" i="102" s="1"/>
  <c r="H13" i="102"/>
  <c r="H23" i="102" s="1"/>
  <c r="H25" i="102" s="1"/>
  <c r="D186" i="6"/>
  <c r="D155"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Kirsten Höttges</author>
  </authors>
  <commentList>
    <comment ref="H1105" authorId="0" shapeId="0" xr:uid="{00000000-0006-0000-0700-000001000000}">
      <text>
        <r>
          <rPr>
            <b/>
            <sz val="8"/>
            <color indexed="81"/>
            <rFont val="Tahoma"/>
            <family val="2"/>
          </rPr>
          <t xml:space="preserve">Korrektur: 
</t>
        </r>
        <r>
          <rPr>
            <sz val="8"/>
            <color indexed="81"/>
            <rFont val="Tahoma"/>
            <family val="2"/>
          </rPr>
          <t>diese und die Spalte rechts sind in der Norm vertauscht</t>
        </r>
      </text>
    </comment>
    <comment ref="I1105" authorId="0" shapeId="0" xr:uid="{00000000-0006-0000-0700-000002000000}">
      <text>
        <r>
          <rPr>
            <b/>
            <sz val="8"/>
            <color indexed="81"/>
            <rFont val="Tahoma"/>
            <family val="2"/>
          </rPr>
          <t xml:space="preserve">Korrektur: 
</t>
        </r>
        <r>
          <rPr>
            <sz val="8"/>
            <color indexed="81"/>
            <rFont val="Tahoma"/>
            <family val="2"/>
          </rPr>
          <t>diese und die Spalte links sind in der Norm vertauscht</t>
        </r>
      </text>
    </comment>
  </commentList>
</comments>
</file>

<file path=xl/sharedStrings.xml><?xml version="1.0" encoding="utf-8"?>
<sst xmlns="http://schemas.openxmlformats.org/spreadsheetml/2006/main" count="8911" uniqueCount="3491">
  <si>
    <t>Fläche</t>
  </si>
  <si>
    <t>Wärmedurch-gangskoeffizient</t>
  </si>
  <si>
    <t>Temperatur-korrekturfaktor</t>
  </si>
  <si>
    <t>Transmissions-wärmeverlust</t>
  </si>
  <si>
    <t>AW 1</t>
  </si>
  <si>
    <r>
      <t>U</t>
    </r>
    <r>
      <rPr>
        <vertAlign val="subscript"/>
        <sz val="10"/>
        <rFont val="Arial"/>
        <family val="2"/>
      </rPr>
      <t>i</t>
    </r>
    <r>
      <rPr>
        <sz val="10"/>
        <rFont val="Arial"/>
        <family val="2"/>
      </rPr>
      <t xml:space="preserve"> [W/(m²K)]</t>
    </r>
  </si>
  <si>
    <r>
      <t>F</t>
    </r>
    <r>
      <rPr>
        <vertAlign val="subscript"/>
        <sz val="10"/>
        <rFont val="Arial"/>
        <family val="2"/>
      </rPr>
      <t>x,i</t>
    </r>
    <r>
      <rPr>
        <sz val="10"/>
        <rFont val="Arial"/>
        <family val="2"/>
      </rPr>
      <t xml:space="preserve"> [-]</t>
    </r>
  </si>
  <si>
    <r>
      <t>U</t>
    </r>
    <r>
      <rPr>
        <vertAlign val="subscript"/>
        <sz val="10"/>
        <rFont val="Arial"/>
        <family val="2"/>
      </rPr>
      <t>i</t>
    </r>
    <r>
      <rPr>
        <sz val="10"/>
        <rFont val="Arial"/>
        <family val="2"/>
      </rPr>
      <t xml:space="preserve"> * A</t>
    </r>
    <r>
      <rPr>
        <vertAlign val="subscript"/>
        <sz val="10"/>
        <rFont val="Arial"/>
        <family val="2"/>
      </rPr>
      <t>i</t>
    </r>
    <r>
      <rPr>
        <sz val="10"/>
        <rFont val="Arial"/>
        <family val="2"/>
      </rPr>
      <t xml:space="preserve"> * F</t>
    </r>
    <r>
      <rPr>
        <vertAlign val="subscript"/>
        <sz val="10"/>
        <rFont val="Arial"/>
        <family val="2"/>
      </rPr>
      <t>x,i</t>
    </r>
    <r>
      <rPr>
        <sz val="10"/>
        <rFont val="Arial"/>
        <family val="2"/>
      </rPr>
      <t xml:space="preserve"> [W/K]</t>
    </r>
  </si>
  <si>
    <r>
      <t>A</t>
    </r>
    <r>
      <rPr>
        <vertAlign val="subscript"/>
        <sz val="10"/>
        <rFont val="Arial"/>
        <family val="2"/>
      </rPr>
      <t>i</t>
    </r>
    <r>
      <rPr>
        <sz val="10"/>
        <rFont val="Arial"/>
        <family val="2"/>
      </rPr>
      <t xml:space="preserve"> [m²]</t>
    </r>
  </si>
  <si>
    <t>Kürzel</t>
  </si>
  <si>
    <t>Neiung</t>
  </si>
  <si>
    <t>Süd</t>
  </si>
  <si>
    <t>Nord</t>
  </si>
  <si>
    <t>Horizontal</t>
  </si>
  <si>
    <t>0°</t>
  </si>
  <si>
    <t>30°</t>
  </si>
  <si>
    <t>45°</t>
  </si>
  <si>
    <t>60°</t>
  </si>
  <si>
    <t>90°</t>
  </si>
  <si>
    <t>2.1.1 Außenwände</t>
  </si>
  <si>
    <t>AW 2</t>
  </si>
  <si>
    <t>AW 3</t>
  </si>
  <si>
    <t>AW 4</t>
  </si>
  <si>
    <t>AW 5</t>
  </si>
  <si>
    <t>AW 6</t>
  </si>
  <si>
    <t>AW 7</t>
  </si>
  <si>
    <t>AW 8</t>
  </si>
  <si>
    <t>AW 9</t>
  </si>
  <si>
    <t>AW 10</t>
  </si>
  <si>
    <t>AW 11</t>
  </si>
  <si>
    <t>AW 12</t>
  </si>
  <si>
    <t>2.1.2 Fenster, Fenstertüren</t>
  </si>
  <si>
    <t>Objekt (Bezeichnung)</t>
  </si>
  <si>
    <t>2.1.3 Haustür</t>
  </si>
  <si>
    <t>2.1.4 Dach</t>
  </si>
  <si>
    <t>2.1.5 Dachflächenfenster</t>
  </si>
  <si>
    <t>2.1.6 Oberste Geschossdecke</t>
  </si>
  <si>
    <t>2.1.7 Wände und Decken zu Abseiten (Drempel)</t>
  </si>
  <si>
    <t>Orientierung/ Einbausituation</t>
  </si>
  <si>
    <t>Fußboden beheizter Keller</t>
  </si>
  <si>
    <t>Wand beheizter Keller</t>
  </si>
  <si>
    <t>Fußboden auf Erdreich ohne Randdämmung</t>
  </si>
  <si>
    <t>Bodenplatte von niedrig beheizten Räumen</t>
  </si>
  <si>
    <t>Aufgeständerter Fußboden</t>
  </si>
  <si>
    <t>Berechnung gem. DIN EN ISO 13370</t>
  </si>
  <si>
    <t>detailliert - gem. DIN EN ISO 10211-2</t>
  </si>
  <si>
    <t>pauschal - ohne Berücksichtigung DIN 4108 Bbl. 2</t>
  </si>
  <si>
    <t>ohne Dichtheitsprüfung</t>
  </si>
  <si>
    <t>Lüftungswärmeverlust</t>
  </si>
  <si>
    <r>
      <t>g</t>
    </r>
    <r>
      <rPr>
        <vertAlign val="subscript"/>
        <sz val="10"/>
        <rFont val="Arial"/>
        <family val="2"/>
      </rPr>
      <t>i</t>
    </r>
    <r>
      <rPr>
        <sz val="10"/>
        <rFont val="Arial"/>
        <family val="2"/>
      </rPr>
      <t xml:space="preserve"> [-]</t>
    </r>
  </si>
  <si>
    <t>Verschattung</t>
  </si>
  <si>
    <r>
      <t>F</t>
    </r>
    <r>
      <rPr>
        <vertAlign val="subscript"/>
        <sz val="10"/>
        <rFont val="Arial"/>
        <family val="2"/>
      </rPr>
      <t>s</t>
    </r>
    <r>
      <rPr>
        <sz val="10"/>
        <rFont val="Arial"/>
        <family val="2"/>
      </rPr>
      <t xml:space="preserve"> </t>
    </r>
    <r>
      <rPr>
        <u/>
        <sz val="10"/>
        <rFont val="Arial"/>
        <family val="2"/>
      </rPr>
      <t>&lt;</t>
    </r>
    <r>
      <rPr>
        <sz val="10"/>
        <rFont val="Arial"/>
        <family val="2"/>
      </rPr>
      <t xml:space="preserve"> 0,9 [-]</t>
    </r>
  </si>
  <si>
    <t>Minderung Rahmen</t>
  </si>
  <si>
    <r>
      <t>F</t>
    </r>
    <r>
      <rPr>
        <vertAlign val="subscript"/>
        <sz val="10"/>
        <rFont val="Arial"/>
        <family val="2"/>
      </rPr>
      <t>F</t>
    </r>
    <r>
      <rPr>
        <sz val="10"/>
        <rFont val="Arial"/>
        <family val="2"/>
      </rPr>
      <t xml:space="preserve"> </t>
    </r>
    <r>
      <rPr>
        <sz val="10"/>
        <rFont val="Arial"/>
        <family val="2"/>
      </rPr>
      <t>[-]</t>
    </r>
  </si>
  <si>
    <t>Strahlungs-intensität</t>
  </si>
  <si>
    <r>
      <t>I</t>
    </r>
    <r>
      <rPr>
        <vertAlign val="subscript"/>
        <sz val="10"/>
        <rFont val="Arial"/>
        <family val="2"/>
      </rPr>
      <t>s,i,M</t>
    </r>
    <r>
      <rPr>
        <sz val="10"/>
        <rFont val="Arial"/>
        <family val="2"/>
      </rPr>
      <t xml:space="preserve"> [W/m²]</t>
    </r>
  </si>
  <si>
    <t>3 Wärmegewinne</t>
  </si>
  <si>
    <t>1 Gebäudedaten</t>
  </si>
  <si>
    <r>
      <t>6 Spezifischer flächenbezogener Transmissionswärmeverlust H</t>
    </r>
    <r>
      <rPr>
        <b/>
        <vertAlign val="subscript"/>
        <sz val="11"/>
        <rFont val="Arial"/>
        <family val="2"/>
      </rPr>
      <t>T</t>
    </r>
    <r>
      <rPr>
        <b/>
        <sz val="11"/>
        <rFont val="Arial"/>
        <family val="2"/>
      </rPr>
      <t>'</t>
    </r>
    <r>
      <rPr>
        <b/>
        <vertAlign val="subscript"/>
        <sz val="11"/>
        <rFont val="Arial"/>
        <family val="2"/>
      </rPr>
      <t>vorh</t>
    </r>
    <r>
      <rPr>
        <b/>
        <sz val="11"/>
        <rFont val="Arial"/>
        <family val="2"/>
      </rPr>
      <t xml:space="preserve"> [W/(m²K)]</t>
    </r>
  </si>
  <si>
    <r>
      <t>V = 0,76 * V</t>
    </r>
    <r>
      <rPr>
        <vertAlign val="subscript"/>
        <sz val="10"/>
        <rFont val="Arial"/>
        <family val="2"/>
      </rPr>
      <t>e</t>
    </r>
    <r>
      <rPr>
        <sz val="10"/>
        <rFont val="Arial"/>
        <family val="2"/>
      </rPr>
      <t xml:space="preserve"> [m³]</t>
    </r>
  </si>
  <si>
    <r>
      <t>V = 0,80 * V</t>
    </r>
    <r>
      <rPr>
        <vertAlign val="subscript"/>
        <sz val="10"/>
        <rFont val="Arial"/>
        <family val="2"/>
      </rPr>
      <t>e</t>
    </r>
    <r>
      <rPr>
        <sz val="10"/>
        <rFont val="Arial"/>
        <family val="2"/>
      </rPr>
      <t xml:space="preserve"> [m³]</t>
    </r>
  </si>
  <si>
    <t>mit Dichtheitsprüfung - Fensterlüftung</t>
  </si>
  <si>
    <t>mit Dichtheitsprüfung - Zu-/Abluftanlage</t>
  </si>
  <si>
    <t>mit Dichtheitsprüfung - Abluftanlage</t>
  </si>
  <si>
    <t>mit Dichtheitsprüfung - Abluftanlage bedarfsgeführt</t>
  </si>
  <si>
    <r>
      <rPr>
        <sz val="10"/>
        <rFont val="Calibri"/>
        <family val="2"/>
      </rPr>
      <t>Δ</t>
    </r>
    <r>
      <rPr>
        <sz val="10"/>
        <rFont val="Arial"/>
        <family val="2"/>
      </rPr>
      <t>U</t>
    </r>
    <r>
      <rPr>
        <vertAlign val="subscript"/>
        <sz val="10"/>
        <rFont val="Arial"/>
        <family val="2"/>
      </rPr>
      <t>WB</t>
    </r>
    <r>
      <rPr>
        <sz val="10"/>
        <rFont val="Arial"/>
        <family val="2"/>
      </rPr>
      <t xml:space="preserve"> = 0,10 [W/(m²K)]</t>
    </r>
  </si>
  <si>
    <r>
      <rPr>
        <sz val="10"/>
        <rFont val="Calibri"/>
        <family val="2"/>
      </rPr>
      <t>Δ</t>
    </r>
    <r>
      <rPr>
        <sz val="10"/>
        <rFont val="Arial"/>
        <family val="2"/>
      </rPr>
      <t>U</t>
    </r>
    <r>
      <rPr>
        <vertAlign val="subscript"/>
        <sz val="10"/>
        <rFont val="Arial"/>
        <family val="2"/>
      </rPr>
      <t>WB</t>
    </r>
    <r>
      <rPr>
        <sz val="10"/>
        <rFont val="Arial"/>
        <family val="2"/>
      </rPr>
      <t xml:space="preserve"> = 0,05 [W/(m²K)]</t>
    </r>
  </si>
  <si>
    <t>Summe Hüllfläche</t>
  </si>
  <si>
    <t>Auswahl:</t>
  </si>
  <si>
    <r>
      <t>Bodengrundfläche A</t>
    </r>
    <r>
      <rPr>
        <vertAlign val="subscript"/>
        <sz val="10"/>
        <rFont val="Arial"/>
        <family val="2"/>
      </rPr>
      <t>G</t>
    </r>
    <r>
      <rPr>
        <sz val="10"/>
        <rFont val="Arial"/>
        <family val="2"/>
      </rPr>
      <t xml:space="preserve"> [m²]</t>
    </r>
  </si>
  <si>
    <t>W 1</t>
  </si>
  <si>
    <t>Gebäude bis 3 Vollgeschosse</t>
  </si>
  <si>
    <t>übrige Gebäude</t>
  </si>
  <si>
    <r>
      <t>n = 0,70 [h</t>
    </r>
    <r>
      <rPr>
        <vertAlign val="superscript"/>
        <sz val="10"/>
        <rFont val="Arial"/>
        <family val="2"/>
      </rPr>
      <t>-1</t>
    </r>
    <r>
      <rPr>
        <sz val="10"/>
        <rFont val="Arial"/>
        <family val="2"/>
      </rPr>
      <t>]</t>
    </r>
  </si>
  <si>
    <r>
      <t>n = 0,60 [h</t>
    </r>
    <r>
      <rPr>
        <vertAlign val="superscript"/>
        <sz val="10"/>
        <rFont val="Arial"/>
        <family val="2"/>
      </rPr>
      <t>-1</t>
    </r>
    <r>
      <rPr>
        <sz val="10"/>
        <rFont val="Arial"/>
        <family val="2"/>
      </rPr>
      <t>]</t>
    </r>
  </si>
  <si>
    <t>Zuord-nung</t>
  </si>
  <si>
    <t>[Kürzel]</t>
  </si>
  <si>
    <t>Orientierung</t>
  </si>
  <si>
    <t>Gesamt-energie-durchlass-grad</t>
  </si>
  <si>
    <t>Monatswerte</t>
  </si>
  <si>
    <t>Wärmestrom über transparente Bauteile</t>
  </si>
  <si>
    <r>
      <t>F</t>
    </r>
    <r>
      <rPr>
        <vertAlign val="subscript"/>
        <sz val="10"/>
        <color theme="1"/>
        <rFont val="Arial"/>
        <family val="2"/>
      </rPr>
      <t>s,t,M</t>
    </r>
    <r>
      <rPr>
        <sz val="10"/>
        <color theme="1"/>
        <rFont val="Arial"/>
        <family val="2"/>
      </rPr>
      <t xml:space="preserve"> =  </t>
    </r>
    <r>
      <rPr>
        <sz val="10"/>
        <color theme="1"/>
        <rFont val="Symbol"/>
        <family val="1"/>
        <charset val="2"/>
      </rPr>
      <t>S</t>
    </r>
    <r>
      <rPr>
        <sz val="10"/>
        <color theme="1"/>
        <rFont val="Arial"/>
        <family val="2"/>
      </rPr>
      <t xml:space="preserve"> (A</t>
    </r>
    <r>
      <rPr>
        <vertAlign val="subscript"/>
        <sz val="10"/>
        <color theme="1"/>
        <rFont val="Arial"/>
        <family val="2"/>
      </rPr>
      <t>i</t>
    </r>
    <r>
      <rPr>
        <sz val="10"/>
        <color theme="1"/>
        <rFont val="Arial"/>
        <family val="2"/>
      </rPr>
      <t xml:space="preserve"> * g</t>
    </r>
    <r>
      <rPr>
        <vertAlign val="subscript"/>
        <sz val="10"/>
        <color theme="1"/>
        <rFont val="Arial"/>
        <family val="2"/>
      </rPr>
      <t>i</t>
    </r>
    <r>
      <rPr>
        <sz val="10"/>
        <color theme="1"/>
        <rFont val="Arial"/>
        <family val="2"/>
      </rPr>
      <t xml:space="preserve"> * F</t>
    </r>
    <r>
      <rPr>
        <vertAlign val="subscript"/>
        <sz val="10"/>
        <color theme="1"/>
        <rFont val="Arial"/>
        <family val="2"/>
      </rPr>
      <t>S,i</t>
    </r>
    <r>
      <rPr>
        <sz val="10"/>
        <color theme="1"/>
        <rFont val="Arial"/>
        <family val="2"/>
      </rPr>
      <t xml:space="preserve"> * F</t>
    </r>
    <r>
      <rPr>
        <vertAlign val="subscript"/>
        <sz val="10"/>
        <color theme="1"/>
        <rFont val="Arial"/>
        <family val="2"/>
      </rPr>
      <t>C</t>
    </r>
    <r>
      <rPr>
        <sz val="10"/>
        <color theme="1"/>
        <rFont val="Arial"/>
        <family val="2"/>
      </rPr>
      <t xml:space="preserve"> * F</t>
    </r>
    <r>
      <rPr>
        <vertAlign val="subscript"/>
        <sz val="10"/>
        <color theme="1"/>
        <rFont val="Arial"/>
        <family val="2"/>
      </rPr>
      <t>W</t>
    </r>
    <r>
      <rPr>
        <sz val="10"/>
        <color theme="1"/>
        <rFont val="Arial"/>
        <family val="2"/>
      </rPr>
      <t xml:space="preserve"> * F</t>
    </r>
    <r>
      <rPr>
        <vertAlign val="subscript"/>
        <sz val="10"/>
        <color theme="1"/>
        <rFont val="Arial"/>
        <family val="2"/>
      </rPr>
      <t>F</t>
    </r>
    <r>
      <rPr>
        <sz val="10"/>
        <color theme="1"/>
        <rFont val="Arial"/>
        <family val="2"/>
      </rPr>
      <t xml:space="preserve"> * </t>
    </r>
    <r>
      <rPr>
        <sz val="10"/>
        <color theme="1"/>
        <rFont val="Symbol"/>
        <family val="1"/>
        <charset val="2"/>
      </rPr>
      <t>I</t>
    </r>
    <r>
      <rPr>
        <vertAlign val="subscript"/>
        <sz val="10"/>
        <color theme="1"/>
        <rFont val="Arial"/>
        <family val="2"/>
      </rPr>
      <t>s,i,M</t>
    </r>
    <r>
      <rPr>
        <sz val="10"/>
        <color theme="1"/>
        <rFont val="Arial"/>
        <family val="2"/>
      </rPr>
      <t>) [W]</t>
    </r>
  </si>
  <si>
    <t>Solare Wärmegewinne transparente Bauteile</t>
  </si>
  <si>
    <t>W 2</t>
  </si>
  <si>
    <t>W 3</t>
  </si>
  <si>
    <t>W 4</t>
  </si>
  <si>
    <t>W 5</t>
  </si>
  <si>
    <t>W 6</t>
  </si>
  <si>
    <t>T 1</t>
  </si>
  <si>
    <t>D 1</t>
  </si>
  <si>
    <t>D 2</t>
  </si>
  <si>
    <t>D 3</t>
  </si>
  <si>
    <t>D 4</t>
  </si>
  <si>
    <t>D 5</t>
  </si>
  <si>
    <t>D 6</t>
  </si>
  <si>
    <t>D 7</t>
  </si>
  <si>
    <t>D 8</t>
  </si>
  <si>
    <t>W 7</t>
  </si>
  <si>
    <t>W 8</t>
  </si>
  <si>
    <t>W 9</t>
  </si>
  <si>
    <t>W 10</t>
  </si>
  <si>
    <t>AbW 1</t>
  </si>
  <si>
    <t>AbW 2</t>
  </si>
  <si>
    <t>AbW 3</t>
  </si>
  <si>
    <t>AB 1</t>
  </si>
  <si>
    <t>AB 2</t>
  </si>
  <si>
    <t>AB 3</t>
  </si>
  <si>
    <t>AB 4</t>
  </si>
  <si>
    <t>AB 5</t>
  </si>
  <si>
    <t>G 1</t>
  </si>
  <si>
    <t>G 2</t>
  </si>
  <si>
    <t>G 3</t>
  </si>
  <si>
    <t>G 4</t>
  </si>
  <si>
    <t>G 5</t>
  </si>
  <si>
    <t>T 2</t>
  </si>
  <si>
    <t>[°]</t>
  </si>
  <si>
    <t>Jan</t>
  </si>
  <si>
    <t>Feb</t>
  </si>
  <si>
    <t>Mrz</t>
  </si>
  <si>
    <t>Apr</t>
  </si>
  <si>
    <t>Mai</t>
  </si>
  <si>
    <t>Jun</t>
  </si>
  <si>
    <t>Jul</t>
  </si>
  <si>
    <t>Aug</t>
  </si>
  <si>
    <t>Sep</t>
  </si>
  <si>
    <t>Okt</t>
  </si>
  <si>
    <t>Nov</t>
  </si>
  <si>
    <t>Dez</t>
  </si>
  <si>
    <t>Horizontal - 0°</t>
  </si>
  <si>
    <t>Süd - 30°</t>
  </si>
  <si>
    <t>Süd - 45°</t>
  </si>
  <si>
    <t>Süd - 60°</t>
  </si>
  <si>
    <t>Süd - 90°</t>
  </si>
  <si>
    <t>Nord - 30°</t>
  </si>
  <si>
    <t>Nord - 45°</t>
  </si>
  <si>
    <t>Nord - 60°</t>
  </si>
  <si>
    <t>Nord - 90°</t>
  </si>
  <si>
    <t>Strahlungs-absorptions-grad</t>
  </si>
  <si>
    <r>
      <t>α</t>
    </r>
    <r>
      <rPr>
        <vertAlign val="subscript"/>
        <sz val="10"/>
        <rFont val="Arial"/>
        <family val="2"/>
      </rPr>
      <t>i</t>
    </r>
    <r>
      <rPr>
        <sz val="10"/>
        <rFont val="Arial"/>
        <family val="2"/>
      </rPr>
      <t xml:space="preserve"> [-]</t>
    </r>
  </si>
  <si>
    <r>
      <t>U</t>
    </r>
    <r>
      <rPr>
        <vertAlign val="subscript"/>
        <sz val="10"/>
        <rFont val="Arial"/>
        <family val="2"/>
      </rPr>
      <t>i</t>
    </r>
    <r>
      <rPr>
        <sz val="10"/>
        <rFont val="Arial"/>
        <family val="2"/>
      </rPr>
      <t xml:space="preserve"> * R</t>
    </r>
    <r>
      <rPr>
        <vertAlign val="subscript"/>
        <sz val="10"/>
        <rFont val="Arial"/>
        <family val="2"/>
      </rPr>
      <t>e</t>
    </r>
    <r>
      <rPr>
        <sz val="10"/>
        <rFont val="Arial"/>
        <family val="2"/>
      </rPr>
      <t xml:space="preserve"> [-]</t>
    </r>
  </si>
  <si>
    <t>weitere Parameter [W/m²]</t>
  </si>
  <si>
    <t>weitere Parameter</t>
  </si>
  <si>
    <r>
      <t>F</t>
    </r>
    <r>
      <rPr>
        <vertAlign val="subscript"/>
        <sz val="10"/>
        <rFont val="Arial"/>
        <family val="2"/>
      </rPr>
      <t>f,i</t>
    </r>
    <r>
      <rPr>
        <sz val="10"/>
        <rFont val="Arial"/>
        <family val="2"/>
      </rPr>
      <t xml:space="preserve"> * h</t>
    </r>
    <r>
      <rPr>
        <vertAlign val="subscript"/>
        <sz val="10"/>
        <rFont val="Arial"/>
        <family val="2"/>
      </rPr>
      <t>r</t>
    </r>
    <r>
      <rPr>
        <sz val="10"/>
        <rFont val="Arial"/>
        <family val="2"/>
      </rPr>
      <t xml:space="preserve"> * </t>
    </r>
    <r>
      <rPr>
        <sz val="10"/>
        <rFont val="Calibri"/>
        <family val="2"/>
      </rPr>
      <t>Δ</t>
    </r>
    <r>
      <rPr>
        <sz val="10"/>
        <rFont val="Arial"/>
        <family val="2"/>
      </rPr>
      <t>θ</t>
    </r>
    <r>
      <rPr>
        <vertAlign val="subscript"/>
        <sz val="10"/>
        <rFont val="Arial"/>
        <family val="2"/>
      </rPr>
      <t>er</t>
    </r>
    <r>
      <rPr>
        <sz val="10"/>
        <rFont val="Arial"/>
        <family val="2"/>
      </rPr>
      <t xml:space="preserve"> </t>
    </r>
  </si>
  <si>
    <t>Solare Wärmegewinne opake Bauteile</t>
  </si>
  <si>
    <t>Wärmestrom über opake Bauteile</t>
  </si>
  <si>
    <r>
      <t>F</t>
    </r>
    <r>
      <rPr>
        <vertAlign val="subscript"/>
        <sz val="10"/>
        <color theme="1"/>
        <rFont val="Arial"/>
        <family val="2"/>
      </rPr>
      <t>s,o,M</t>
    </r>
    <r>
      <rPr>
        <sz val="10"/>
        <color theme="1"/>
        <rFont val="Arial"/>
        <family val="2"/>
      </rPr>
      <t xml:space="preserve">  </t>
    </r>
    <r>
      <rPr>
        <sz val="10"/>
        <color theme="1"/>
        <rFont val="Symbol"/>
        <family val="1"/>
        <charset val="2"/>
      </rPr>
      <t xml:space="preserve">S </t>
    </r>
    <r>
      <rPr>
        <sz val="10"/>
        <color theme="1"/>
        <rFont val="Arial"/>
        <family val="2"/>
      </rPr>
      <t>(U</t>
    </r>
    <r>
      <rPr>
        <vertAlign val="subscript"/>
        <sz val="10"/>
        <color theme="1"/>
        <rFont val="Arial"/>
        <family val="2"/>
      </rPr>
      <t>i</t>
    </r>
    <r>
      <rPr>
        <sz val="10"/>
        <color theme="1"/>
        <rFont val="Arial"/>
        <family val="2"/>
      </rPr>
      <t xml:space="preserve"> * A</t>
    </r>
    <r>
      <rPr>
        <vertAlign val="subscript"/>
        <sz val="10"/>
        <color theme="1"/>
        <rFont val="Arial"/>
        <family val="2"/>
      </rPr>
      <t>i</t>
    </r>
    <r>
      <rPr>
        <sz val="10"/>
        <color theme="1"/>
        <rFont val="Arial"/>
        <family val="2"/>
      </rPr>
      <t xml:space="preserve"> * R</t>
    </r>
    <r>
      <rPr>
        <vertAlign val="subscript"/>
        <sz val="10"/>
        <color theme="1"/>
        <rFont val="Arial"/>
        <family val="2"/>
      </rPr>
      <t>e</t>
    </r>
    <r>
      <rPr>
        <sz val="10"/>
        <color theme="1"/>
        <rFont val="Arial"/>
        <family val="2"/>
      </rPr>
      <t xml:space="preserve"> * (</t>
    </r>
    <r>
      <rPr>
        <sz val="10"/>
        <color theme="1"/>
        <rFont val="Symbol"/>
        <family val="1"/>
        <charset val="2"/>
      </rPr>
      <t>a</t>
    </r>
    <r>
      <rPr>
        <vertAlign val="subscript"/>
        <sz val="10"/>
        <color theme="1"/>
        <rFont val="Arial"/>
        <family val="2"/>
      </rPr>
      <t>i</t>
    </r>
    <r>
      <rPr>
        <sz val="10"/>
        <color theme="1"/>
        <rFont val="Arial"/>
        <family val="2"/>
      </rPr>
      <t xml:space="preserve"> * </t>
    </r>
    <r>
      <rPr>
        <sz val="10"/>
        <color theme="1"/>
        <rFont val="Symbol"/>
        <family val="1"/>
        <charset val="2"/>
      </rPr>
      <t>I</t>
    </r>
    <r>
      <rPr>
        <vertAlign val="subscript"/>
        <sz val="10"/>
        <color theme="1"/>
        <rFont val="Arial"/>
        <family val="2"/>
      </rPr>
      <t>s,i,M</t>
    </r>
    <r>
      <rPr>
        <sz val="10"/>
        <color theme="1"/>
        <rFont val="Arial"/>
        <family val="2"/>
      </rPr>
      <t xml:space="preserve"> - F</t>
    </r>
    <r>
      <rPr>
        <vertAlign val="subscript"/>
        <sz val="10"/>
        <color theme="1"/>
        <rFont val="Arial"/>
        <family val="2"/>
      </rPr>
      <t>f,i</t>
    </r>
    <r>
      <rPr>
        <sz val="10"/>
        <color theme="1"/>
        <rFont val="Arial"/>
        <family val="2"/>
      </rPr>
      <t xml:space="preserve"> * h</t>
    </r>
    <r>
      <rPr>
        <vertAlign val="subscript"/>
        <sz val="10"/>
        <color theme="1"/>
        <rFont val="Arial"/>
        <family val="2"/>
      </rPr>
      <t>r</t>
    </r>
    <r>
      <rPr>
        <sz val="10"/>
        <color theme="1"/>
        <rFont val="Arial"/>
        <family val="2"/>
      </rPr>
      <t xml:space="preserve"> * </t>
    </r>
    <r>
      <rPr>
        <sz val="10"/>
        <color theme="1"/>
        <rFont val="Symbol"/>
        <family val="1"/>
        <charset val="2"/>
      </rPr>
      <t>D</t>
    </r>
    <r>
      <rPr>
        <sz val="10"/>
        <color theme="1"/>
        <rFont val="Arial"/>
        <family val="2"/>
      </rPr>
      <t>θ</t>
    </r>
    <r>
      <rPr>
        <vertAlign val="subscript"/>
        <sz val="10"/>
        <color theme="1"/>
        <rFont val="Arial"/>
        <family val="2"/>
      </rPr>
      <t>er</t>
    </r>
    <r>
      <rPr>
        <sz val="10"/>
        <color theme="1"/>
        <rFont val="Arial"/>
        <family val="2"/>
      </rPr>
      <t>)) [W]</t>
    </r>
  </si>
  <si>
    <t>Interne Wärmegewinne</t>
  </si>
  <si>
    <t>Spezifische auf die Nutzfläche bezogene interne Wärmegewinne</t>
  </si>
  <si>
    <r>
      <t>q</t>
    </r>
    <r>
      <rPr>
        <vertAlign val="subscript"/>
        <sz val="10"/>
        <rFont val="Arial"/>
        <family val="2"/>
      </rPr>
      <t>i</t>
    </r>
    <r>
      <rPr>
        <sz val="10"/>
        <rFont val="Arial"/>
        <family val="2"/>
      </rPr>
      <t xml:space="preserve"> = 5 W/m²</t>
    </r>
  </si>
  <si>
    <r>
      <t>3.1 Solare Wärmegewinne transparenter Bauteile Q</t>
    </r>
    <r>
      <rPr>
        <b/>
        <vertAlign val="subscript"/>
        <sz val="10"/>
        <rFont val="Arial"/>
        <family val="2"/>
      </rPr>
      <t xml:space="preserve">s,t </t>
    </r>
    <r>
      <rPr>
        <b/>
        <sz val="10"/>
        <rFont val="Arial"/>
        <family val="2"/>
      </rPr>
      <t>[kWh/a]</t>
    </r>
  </si>
  <si>
    <r>
      <t>3.2 Solare Wärmegewinne opaker Bauteile Q</t>
    </r>
    <r>
      <rPr>
        <b/>
        <vertAlign val="subscript"/>
        <sz val="10"/>
        <rFont val="Arial"/>
        <family val="2"/>
      </rPr>
      <t xml:space="preserve">s,op </t>
    </r>
    <r>
      <rPr>
        <b/>
        <sz val="10"/>
        <rFont val="Arial"/>
        <family val="2"/>
      </rPr>
      <t>[kWh/a]</t>
    </r>
  </si>
  <si>
    <r>
      <t>3.3 Interne Wärmegewinne Q</t>
    </r>
    <r>
      <rPr>
        <b/>
        <vertAlign val="subscript"/>
        <sz val="10"/>
        <rFont val="Arial"/>
        <family val="2"/>
      </rPr>
      <t xml:space="preserve">i </t>
    </r>
    <r>
      <rPr>
        <b/>
        <sz val="10"/>
        <rFont val="Arial"/>
        <family val="2"/>
      </rPr>
      <t>[kWh/a]</t>
    </r>
  </si>
  <si>
    <t>für Ausnutzungsgrad</t>
  </si>
  <si>
    <t>leichte Bauweise</t>
  </si>
  <si>
    <t>schwere Bauweise</t>
  </si>
  <si>
    <t>detaillierte Berechnung</t>
  </si>
  <si>
    <r>
      <rPr>
        <sz val="10"/>
        <rFont val="Calibri"/>
        <family val="2"/>
      </rPr>
      <t>Δ</t>
    </r>
    <r>
      <rPr>
        <sz val="10"/>
        <rFont val="Arial"/>
        <family val="2"/>
      </rPr>
      <t>U</t>
    </r>
    <r>
      <rPr>
        <vertAlign val="subscript"/>
        <sz val="10"/>
        <rFont val="Arial"/>
        <family val="2"/>
      </rPr>
      <t>WB</t>
    </r>
    <r>
      <rPr>
        <sz val="10"/>
        <rFont val="Arial"/>
        <family val="2"/>
      </rPr>
      <t xml:space="preserve"> = Eingabe [W/(m²K)]</t>
    </r>
  </si>
  <si>
    <t>bei Nachtabschaltung</t>
  </si>
  <si>
    <r>
      <t>4 Wirksame Wärmespeicherfähigkeit C</t>
    </r>
    <r>
      <rPr>
        <b/>
        <vertAlign val="subscript"/>
        <sz val="11"/>
        <rFont val="Arial"/>
        <family val="2"/>
      </rPr>
      <t xml:space="preserve">wirk </t>
    </r>
    <r>
      <rPr>
        <b/>
        <sz val="11"/>
        <rFont val="Arial"/>
        <family val="2"/>
      </rPr>
      <t>[Wh/K]</t>
    </r>
  </si>
  <si>
    <r>
      <t>5 Jahres-Heizwärmebedarf Q</t>
    </r>
    <r>
      <rPr>
        <b/>
        <vertAlign val="subscript"/>
        <sz val="11"/>
        <rFont val="Arial"/>
        <family val="2"/>
      </rPr>
      <t>h</t>
    </r>
    <r>
      <rPr>
        <b/>
        <sz val="11"/>
        <rFont val="Arial"/>
        <family val="2"/>
      </rPr>
      <t xml:space="preserve"> [kWh/a] bzw. flächenbezogen Q</t>
    </r>
    <r>
      <rPr>
        <b/>
        <vertAlign val="subscript"/>
        <sz val="11"/>
        <rFont val="Arial"/>
        <family val="2"/>
      </rPr>
      <t>h</t>
    </r>
    <r>
      <rPr>
        <b/>
        <sz val="11"/>
        <rFont val="Arial"/>
        <family val="2"/>
      </rPr>
      <t>'' [kWh/(m²a)]</t>
    </r>
  </si>
  <si>
    <t>Wärmeverlust ohne Nachtabschaltung</t>
  </si>
  <si>
    <t>Wärmeverlust bei 7 h Nachtabschaltung</t>
  </si>
  <si>
    <t>Wärmegewinn-/-verlustverhältnis</t>
  </si>
  <si>
    <t>Ausnutzungsgrad Wärmegewinne</t>
  </si>
  <si>
    <t>Jahres-Heizwärmebedarf</t>
  </si>
  <si>
    <t>Flächenbezogener Jahres-Heizwärmebedarf</t>
  </si>
  <si>
    <r>
      <t>2.1 Spezifischer Transmissionswärmeverlust H</t>
    </r>
    <r>
      <rPr>
        <b/>
        <vertAlign val="subscript"/>
        <sz val="10"/>
        <rFont val="Arial"/>
        <family val="2"/>
      </rPr>
      <t>T</t>
    </r>
    <r>
      <rPr>
        <b/>
        <sz val="10"/>
        <rFont val="Arial"/>
        <family val="2"/>
      </rPr>
      <t xml:space="preserve"> [W/K]</t>
    </r>
  </si>
  <si>
    <r>
      <t>2.2 Transmissionswärmeverlust Q</t>
    </r>
    <r>
      <rPr>
        <b/>
        <vertAlign val="subscript"/>
        <sz val="10"/>
        <rFont val="Arial"/>
        <family val="2"/>
      </rPr>
      <t>T</t>
    </r>
    <r>
      <rPr>
        <b/>
        <sz val="10"/>
        <rFont val="Arial"/>
        <family val="2"/>
      </rPr>
      <t xml:space="preserve"> [kWh/a]</t>
    </r>
  </si>
  <si>
    <r>
      <t>2.3 Spezifischer Lüftungswärmeverlust H</t>
    </r>
    <r>
      <rPr>
        <b/>
        <vertAlign val="subscript"/>
        <sz val="10"/>
        <rFont val="Arial"/>
        <family val="2"/>
      </rPr>
      <t>V</t>
    </r>
    <r>
      <rPr>
        <b/>
        <sz val="10"/>
        <rFont val="Arial"/>
        <family val="2"/>
      </rPr>
      <t xml:space="preserve"> [W/K]</t>
    </r>
  </si>
  <si>
    <t>Spezifischer Lüftungswärmeverlust</t>
  </si>
  <si>
    <t>Spezifischer Transmissionswärmeverlust</t>
  </si>
  <si>
    <t>Spezifischer Transmissonswärmeverlust Bauteilflächen</t>
  </si>
  <si>
    <t>Transmissionswärmeverlust</t>
  </si>
  <si>
    <r>
      <t>Solare Wärmegewinne opaker Bauteile Q</t>
    </r>
    <r>
      <rPr>
        <b/>
        <vertAlign val="subscript"/>
        <sz val="10"/>
        <color theme="3"/>
        <rFont val="Arial"/>
        <family val="2"/>
      </rPr>
      <t xml:space="preserve">s,op </t>
    </r>
    <r>
      <rPr>
        <b/>
        <sz val="10"/>
        <color theme="3"/>
        <rFont val="Arial"/>
        <family val="2"/>
      </rPr>
      <t>[kWh/mth] - Monatswerte</t>
    </r>
  </si>
  <si>
    <r>
      <t>2.4 Lüftungswärmeverlust Q</t>
    </r>
    <r>
      <rPr>
        <b/>
        <vertAlign val="subscript"/>
        <sz val="10"/>
        <rFont val="Arial"/>
        <family val="2"/>
      </rPr>
      <t>V</t>
    </r>
    <r>
      <rPr>
        <b/>
        <sz val="10"/>
        <rFont val="Arial"/>
        <family val="2"/>
      </rPr>
      <t xml:space="preserve"> [kWh/a]</t>
    </r>
  </si>
  <si>
    <t>numerischer Parmeter</t>
  </si>
  <si>
    <t>Verfahren gemäß DIN V 4701-10</t>
  </si>
  <si>
    <t>Anlage 1 - Brennwert-Kessel und solar unterstützte Trinkwassererwärmung</t>
  </si>
  <si>
    <t>Anlage 2 - Brennwert-Kessel und Lüftungsanlage mit Wärmerückgewinnung</t>
  </si>
  <si>
    <t>Anlage 3 - Brennwert-Kessel und Lüftungsanlage mit Wärmerückgewinnung und solare Trinkwassererwärmung</t>
  </si>
  <si>
    <t>Anlage 4 - Niedertemperatur-Kessel und solar unterstützte Trinkwassererwärmung</t>
  </si>
  <si>
    <t>Anlage 5 - Wärmepumpe (Sole/Wasser) mit gebäudezentraler Trinkwassererwärmung</t>
  </si>
  <si>
    <t>Anlage 6 - Wärmepumpe (Sole/Wasser) und Lüftungsanlage mit Wärmerückgewinnung</t>
  </si>
  <si>
    <t>Anlage 7 - Wärmepumpe (Luft/Wasser) mit gebäudezentraler Trinkwassererwärmung</t>
  </si>
  <si>
    <t>Anlage 8 - Wärmepumpe (Luft/Wasser) und Lüftungsanlage mit Wärmerückgewinnung</t>
  </si>
  <si>
    <t>Berechnung gemäß Tabellenverfahren</t>
  </si>
  <si>
    <t>BW+Solar</t>
  </si>
  <si>
    <t>BW+WRG</t>
  </si>
  <si>
    <t>BW+Solar+WRG</t>
  </si>
  <si>
    <t>NT+Solar</t>
  </si>
  <si>
    <t>WP(Sole)</t>
  </si>
  <si>
    <t>WP(Sole)+WRG</t>
  </si>
  <si>
    <t>WP(Luft)</t>
  </si>
  <si>
    <t>WP(Luft)+WRG</t>
  </si>
  <si>
    <t>BW (AN&lt;500m²]</t>
  </si>
  <si>
    <t>BW</t>
  </si>
  <si>
    <t>Anlagen-Aufwandszahl</t>
  </si>
  <si>
    <r>
      <t>e</t>
    </r>
    <r>
      <rPr>
        <b/>
        <vertAlign val="subscript"/>
        <sz val="10"/>
        <rFont val="Arial"/>
        <family val="2"/>
      </rPr>
      <t>P</t>
    </r>
    <r>
      <rPr>
        <b/>
        <sz val="10"/>
        <rFont val="Arial"/>
        <family val="2"/>
      </rPr>
      <t xml:space="preserve"> [-]</t>
    </r>
  </si>
  <si>
    <r>
      <t>e</t>
    </r>
    <r>
      <rPr>
        <vertAlign val="subscript"/>
        <sz val="10"/>
        <rFont val="Arial"/>
        <family val="2"/>
      </rPr>
      <t>P</t>
    </r>
    <r>
      <rPr>
        <sz val="10"/>
        <rFont val="Arial"/>
        <family val="2"/>
      </rPr>
      <t xml:space="preserve"> [-]</t>
    </r>
  </si>
  <si>
    <t xml:space="preserve"> - Nachweise und Berechnungen liegen bei</t>
  </si>
  <si>
    <t>Musteranlage aus Beiblatt 1, Eingabe Kennwerte</t>
  </si>
  <si>
    <t>kWh/a</t>
  </si>
  <si>
    <t>Bereich:</t>
  </si>
  <si>
    <t>aus DIN 4108-6</t>
  </si>
  <si>
    <t>Strang:</t>
  </si>
  <si>
    <t>WÄRME (W)</t>
  </si>
  <si>
    <t>Rechenvorschrift / Quelle</t>
  </si>
  <si>
    <t>Dimension</t>
  </si>
  <si>
    <t>[kWh/(m²a)]</t>
  </si>
  <si>
    <t>Tabelle C.1-1</t>
  </si>
  <si>
    <t>Heizwärmegutschriften</t>
  </si>
  <si>
    <t>Tabellen C.1-2a bzw. C.1-2c</t>
  </si>
  <si>
    <t>+</t>
  </si>
  <si>
    <t>Tabelle C.1.2a</t>
  </si>
  <si>
    <t>Tabelle C.1-3a</t>
  </si>
  <si>
    <t>Tabelle C.1.3a</t>
  </si>
  <si>
    <t>jeweils [kWh/(m²a)]</t>
  </si>
  <si>
    <t>Erzeuger</t>
  </si>
  <si>
    <t>Tabelle C.1-4a</t>
  </si>
  <si>
    <t>[--]</t>
  </si>
  <si>
    <t>Tabelle C.1-4b,c,d,e oder f</t>
  </si>
  <si>
    <t>kWh/(m²a)</t>
  </si>
  <si>
    <t>Tabelle C.4-1</t>
  </si>
  <si>
    <t xml:space="preserve">HILFSENERGIE (HE)         </t>
  </si>
  <si>
    <t>Tabelle C.1-2b bzw. C.1-2c</t>
  </si>
  <si>
    <t>Tabelle C.1-3b</t>
  </si>
  <si>
    <t>Tabelle C.1-4b,c,d,e oder g</t>
  </si>
  <si>
    <t>WÄRME</t>
  </si>
  <si>
    <t>ENDENERGIE</t>
  </si>
  <si>
    <t>PRIMÄRENERGIE</t>
  </si>
  <si>
    <t>m²</t>
  </si>
  <si>
    <r>
      <t>Q</t>
    </r>
    <r>
      <rPr>
        <vertAlign val="subscript"/>
        <sz val="10"/>
        <color theme="1"/>
        <rFont val="Arial"/>
        <family val="2"/>
      </rPr>
      <t>tw</t>
    </r>
  </si>
  <si>
    <r>
      <t>A</t>
    </r>
    <r>
      <rPr>
        <vertAlign val="subscript"/>
        <sz val="10"/>
        <color theme="1"/>
        <rFont val="Arial"/>
        <family val="2"/>
      </rPr>
      <t>N</t>
    </r>
  </si>
  <si>
    <r>
      <t>q</t>
    </r>
    <r>
      <rPr>
        <vertAlign val="subscript"/>
        <sz val="10"/>
        <color theme="1"/>
        <rFont val="Arial"/>
        <family val="2"/>
      </rPr>
      <t>tw</t>
    </r>
  </si>
  <si>
    <r>
      <t>q</t>
    </r>
    <r>
      <rPr>
        <vertAlign val="subscript"/>
        <sz val="10"/>
        <color theme="1"/>
        <rFont val="Arial"/>
        <family val="2"/>
      </rPr>
      <t>TW,ce</t>
    </r>
  </si>
  <si>
    <r>
      <t>q</t>
    </r>
    <r>
      <rPr>
        <vertAlign val="subscript"/>
        <sz val="10"/>
        <color theme="1"/>
        <rFont val="Arial"/>
        <family val="2"/>
      </rPr>
      <t>TW,d</t>
    </r>
  </si>
  <si>
    <r>
      <t>q</t>
    </r>
    <r>
      <rPr>
        <vertAlign val="subscript"/>
        <sz val="10"/>
        <color theme="1"/>
        <rFont val="Arial"/>
        <family val="2"/>
      </rPr>
      <t>TW,s</t>
    </r>
  </si>
  <si>
    <r>
      <t>q</t>
    </r>
    <r>
      <rPr>
        <vertAlign val="subscript"/>
        <sz val="10"/>
        <color theme="1"/>
        <rFont val="Arial"/>
        <family val="2"/>
      </rPr>
      <t>h,TW,d</t>
    </r>
  </si>
  <si>
    <r>
      <t>q</t>
    </r>
    <r>
      <rPr>
        <vertAlign val="subscript"/>
        <sz val="10"/>
        <color theme="1"/>
        <rFont val="Arial"/>
        <family val="2"/>
      </rPr>
      <t>h,TW,s</t>
    </r>
  </si>
  <si>
    <r>
      <t>q</t>
    </r>
    <r>
      <rPr>
        <vertAlign val="subscript"/>
        <sz val="10"/>
        <color theme="1"/>
        <rFont val="Arial"/>
        <family val="2"/>
      </rPr>
      <t>h,TW</t>
    </r>
  </si>
  <si>
    <r>
      <t>e</t>
    </r>
    <r>
      <rPr>
        <vertAlign val="subscript"/>
        <sz val="10"/>
        <color theme="1"/>
        <rFont val="Arial"/>
        <family val="2"/>
      </rPr>
      <t>TW,g,i</t>
    </r>
  </si>
  <si>
    <r>
      <t>α</t>
    </r>
    <r>
      <rPr>
        <vertAlign val="subscript"/>
        <sz val="10"/>
        <color theme="1"/>
        <rFont val="Arial"/>
        <family val="2"/>
      </rPr>
      <t>TW,g,i</t>
    </r>
  </si>
  <si>
    <t>[-]</t>
  </si>
  <si>
    <r>
      <t>q</t>
    </r>
    <r>
      <rPr>
        <vertAlign val="subscript"/>
        <sz val="10"/>
        <color theme="1"/>
        <rFont val="Arial"/>
        <family val="2"/>
      </rPr>
      <t>TW,E,i</t>
    </r>
  </si>
  <si>
    <r>
      <t>f</t>
    </r>
    <r>
      <rPr>
        <vertAlign val="subscript"/>
        <sz val="10"/>
        <color theme="1"/>
        <rFont val="Arial"/>
        <family val="2"/>
      </rPr>
      <t>P,i</t>
    </r>
  </si>
  <si>
    <r>
      <t>q</t>
    </r>
    <r>
      <rPr>
        <vertAlign val="subscript"/>
        <sz val="10"/>
        <color theme="1"/>
        <rFont val="Arial"/>
        <family val="2"/>
      </rPr>
      <t>TW,P,i</t>
    </r>
  </si>
  <si>
    <r>
      <t>(q</t>
    </r>
    <r>
      <rPr>
        <vertAlign val="subscript"/>
        <sz val="10"/>
        <color theme="1"/>
        <rFont val="Arial"/>
        <family val="2"/>
      </rPr>
      <t>h,TW,d</t>
    </r>
    <r>
      <rPr>
        <sz val="10"/>
        <color theme="1"/>
        <rFont val="Arial"/>
        <family val="2"/>
      </rPr>
      <t xml:space="preserve"> + q</t>
    </r>
    <r>
      <rPr>
        <vertAlign val="subscript"/>
        <sz val="10"/>
        <color theme="1"/>
        <rFont val="Arial"/>
        <family val="2"/>
      </rPr>
      <t>h,TW,s</t>
    </r>
    <r>
      <rPr>
        <sz val="10"/>
        <color theme="1"/>
        <rFont val="Arial"/>
        <family val="2"/>
      </rPr>
      <t>)</t>
    </r>
  </si>
  <si>
    <r>
      <t>(q</t>
    </r>
    <r>
      <rPr>
        <vertAlign val="subscript"/>
        <sz val="10"/>
        <color theme="1"/>
        <rFont val="Arial"/>
        <family val="2"/>
      </rPr>
      <t>tw</t>
    </r>
    <r>
      <rPr>
        <sz val="10"/>
        <color theme="1"/>
        <rFont val="Arial"/>
        <family val="2"/>
      </rPr>
      <t xml:space="preserve"> * A</t>
    </r>
    <r>
      <rPr>
        <vertAlign val="subscript"/>
        <sz val="10"/>
        <color theme="1"/>
        <rFont val="Arial"/>
        <family val="2"/>
      </rPr>
      <t>N</t>
    </r>
    <r>
      <rPr>
        <sz val="10"/>
        <color theme="1"/>
        <rFont val="Arial"/>
        <family val="2"/>
      </rPr>
      <t>)</t>
    </r>
  </si>
  <si>
    <r>
      <t>q</t>
    </r>
    <r>
      <rPr>
        <vertAlign val="subscript"/>
        <sz val="10"/>
        <color theme="1"/>
        <rFont val="Arial"/>
        <family val="2"/>
      </rPr>
      <t>TW,E,i</t>
    </r>
    <r>
      <rPr>
        <sz val="10"/>
        <color theme="1"/>
        <rFont val="Arial"/>
        <family val="2"/>
      </rPr>
      <t xml:space="preserve"> * f</t>
    </r>
    <r>
      <rPr>
        <vertAlign val="subscript"/>
        <sz val="10"/>
        <color theme="1"/>
        <rFont val="Arial"/>
        <family val="2"/>
      </rPr>
      <t>P,i</t>
    </r>
  </si>
  <si>
    <r>
      <t>q</t>
    </r>
    <r>
      <rPr>
        <vertAlign val="subscript"/>
        <sz val="10"/>
        <color theme="1"/>
        <rFont val="Arial"/>
        <family val="2"/>
      </rPr>
      <t>TW,ce,HE</t>
    </r>
  </si>
  <si>
    <r>
      <t>q</t>
    </r>
    <r>
      <rPr>
        <vertAlign val="subscript"/>
        <sz val="10"/>
        <color theme="1"/>
        <rFont val="Arial"/>
        <family val="2"/>
      </rPr>
      <t>TW,d,HE</t>
    </r>
  </si>
  <si>
    <r>
      <t>q</t>
    </r>
    <r>
      <rPr>
        <vertAlign val="subscript"/>
        <sz val="10"/>
        <color theme="1"/>
        <rFont val="Arial"/>
        <family val="2"/>
      </rPr>
      <t>TW,s,HE</t>
    </r>
  </si>
  <si>
    <r>
      <t>q</t>
    </r>
    <r>
      <rPr>
        <vertAlign val="subscript"/>
        <sz val="10"/>
        <color theme="1"/>
        <rFont val="Arial"/>
        <family val="2"/>
      </rPr>
      <t>TW,g,HE,i</t>
    </r>
  </si>
  <si>
    <r>
      <t>α</t>
    </r>
    <r>
      <rPr>
        <vertAlign val="subscript"/>
        <sz val="10"/>
        <color theme="1"/>
        <rFont val="Arial"/>
        <family val="2"/>
      </rPr>
      <t>TW,g,i</t>
    </r>
    <r>
      <rPr>
        <sz val="10"/>
        <color theme="1"/>
        <rFont val="Arial"/>
        <family val="2"/>
      </rPr>
      <t xml:space="preserve"> * q</t>
    </r>
    <r>
      <rPr>
        <vertAlign val="subscript"/>
        <sz val="10"/>
        <color theme="1"/>
        <rFont val="Arial"/>
        <family val="2"/>
      </rPr>
      <t>TW,g,HE,i</t>
    </r>
  </si>
  <si>
    <r>
      <t>q</t>
    </r>
    <r>
      <rPr>
        <vertAlign val="subscript"/>
        <sz val="10"/>
        <color theme="1"/>
        <rFont val="Arial"/>
        <family val="2"/>
      </rPr>
      <t>TW,HE,E,i</t>
    </r>
  </si>
  <si>
    <r>
      <t>q</t>
    </r>
    <r>
      <rPr>
        <vertAlign val="subscript"/>
        <sz val="10"/>
        <color theme="1"/>
        <rFont val="Arial"/>
        <family val="2"/>
      </rPr>
      <t>TW,HE,E</t>
    </r>
  </si>
  <si>
    <r>
      <t>f</t>
    </r>
    <r>
      <rPr>
        <vertAlign val="subscript"/>
        <sz val="10"/>
        <color theme="1"/>
        <rFont val="Arial"/>
        <family val="2"/>
      </rPr>
      <t>P</t>
    </r>
  </si>
  <si>
    <r>
      <t>q</t>
    </r>
    <r>
      <rPr>
        <vertAlign val="subscript"/>
        <sz val="10"/>
        <color theme="1"/>
        <rFont val="Arial"/>
        <family val="2"/>
      </rPr>
      <t>TW,HE,P</t>
    </r>
  </si>
  <si>
    <r>
      <t>Q</t>
    </r>
    <r>
      <rPr>
        <b/>
        <vertAlign val="subscript"/>
        <sz val="10"/>
        <color theme="1"/>
        <rFont val="Arial"/>
        <family val="2"/>
      </rPr>
      <t>TW,P</t>
    </r>
  </si>
  <si>
    <r>
      <t>q</t>
    </r>
    <r>
      <rPr>
        <vertAlign val="subscript"/>
        <sz val="10"/>
        <color theme="1"/>
        <rFont val="Arial"/>
        <family val="2"/>
      </rPr>
      <t>TW,HE,E</t>
    </r>
    <r>
      <rPr>
        <sz val="10"/>
        <color theme="1"/>
        <rFont val="Arial"/>
        <family val="2"/>
      </rPr>
      <t xml:space="preserve"> * f</t>
    </r>
    <r>
      <rPr>
        <vertAlign val="subscript"/>
        <sz val="10"/>
        <color theme="1"/>
        <rFont val="Arial"/>
        <family val="2"/>
      </rPr>
      <t>P</t>
    </r>
  </si>
  <si>
    <t>HILFSENERGIE</t>
  </si>
  <si>
    <t>LÜFTUNG</t>
  </si>
  <si>
    <r>
      <t>A</t>
    </r>
    <r>
      <rPr>
        <vertAlign val="subscript"/>
        <sz val="10"/>
        <color theme="1"/>
        <rFont val="Arial"/>
        <family val="2"/>
      </rPr>
      <t>N</t>
    </r>
    <r>
      <rPr>
        <sz val="10"/>
        <color theme="1"/>
        <rFont val="Arial"/>
        <family val="2"/>
      </rPr>
      <t xml:space="preserve"> =</t>
    </r>
  </si>
  <si>
    <t>aus DIN V 4108-6</t>
  </si>
  <si>
    <t>kKh/a</t>
  </si>
  <si>
    <t>Tabelle 5.2 o. DIN V 4108-6</t>
  </si>
  <si>
    <t>1/h</t>
  </si>
  <si>
    <t>Tabelle 5.2-3</t>
  </si>
  <si>
    <t>WÄRME (WE)</t>
  </si>
  <si>
    <t>Rechenvorschrift/Quelle</t>
  </si>
  <si>
    <t>Erzeugung</t>
  </si>
  <si>
    <t>Erzeuger   WRG mit WÜT</t>
  </si>
  <si>
    <t>Erzeuger   L/L - WP</t>
  </si>
  <si>
    <t>Abschnitt C.2.3.1</t>
  </si>
  <si>
    <t>HILFSENERGIE (HE)</t>
  </si>
  <si>
    <t>Abschnitt C.2.1</t>
  </si>
  <si>
    <t>Abschnitt C.2.2</t>
  </si>
  <si>
    <r>
      <t>q</t>
    </r>
    <r>
      <rPr>
        <vertAlign val="subscript"/>
        <sz val="10"/>
        <color theme="1"/>
        <rFont val="Arial"/>
        <family val="2"/>
      </rPr>
      <t>L,ce</t>
    </r>
  </si>
  <si>
    <r>
      <t>q</t>
    </r>
    <r>
      <rPr>
        <vertAlign val="subscript"/>
        <sz val="10"/>
        <color theme="1"/>
        <rFont val="Arial"/>
        <family val="2"/>
      </rPr>
      <t>L,d</t>
    </r>
  </si>
  <si>
    <r>
      <t>q</t>
    </r>
    <r>
      <rPr>
        <vertAlign val="subscript"/>
        <sz val="10"/>
        <color theme="1"/>
        <rFont val="Arial"/>
        <family val="2"/>
      </rPr>
      <t>n,n</t>
    </r>
  </si>
  <si>
    <r>
      <t>q</t>
    </r>
    <r>
      <rPr>
        <vertAlign val="subscript"/>
        <sz val="10"/>
        <color theme="1"/>
        <rFont val="Arial"/>
        <family val="2"/>
      </rPr>
      <t>L,g,i</t>
    </r>
  </si>
  <si>
    <r>
      <t>e</t>
    </r>
    <r>
      <rPr>
        <vertAlign val="subscript"/>
        <sz val="10"/>
        <color theme="1"/>
        <rFont val="Arial"/>
        <family val="2"/>
      </rPr>
      <t>L,g,i</t>
    </r>
  </si>
  <si>
    <t>Übergabe</t>
  </si>
  <si>
    <t>Verteilung</t>
  </si>
  <si>
    <r>
      <t>q</t>
    </r>
    <r>
      <rPr>
        <vertAlign val="subscript"/>
        <sz val="10"/>
        <color theme="1"/>
        <rFont val="Arial"/>
        <family val="2"/>
      </rPr>
      <t>L,g,E,i</t>
    </r>
  </si>
  <si>
    <r>
      <t>q</t>
    </r>
    <r>
      <rPr>
        <vertAlign val="subscript"/>
        <sz val="10"/>
        <color theme="1"/>
        <rFont val="Arial"/>
        <family val="2"/>
      </rPr>
      <t>L,g,i</t>
    </r>
    <r>
      <rPr>
        <sz val="10"/>
        <color theme="1"/>
        <rFont val="Arial"/>
        <family val="2"/>
      </rPr>
      <t xml:space="preserve"> * e</t>
    </r>
    <r>
      <rPr>
        <vertAlign val="subscript"/>
        <sz val="10"/>
        <color theme="1"/>
        <rFont val="Arial"/>
        <family val="2"/>
      </rPr>
      <t>L,g,i</t>
    </r>
  </si>
  <si>
    <r>
      <t>q</t>
    </r>
    <r>
      <rPr>
        <vertAlign val="subscript"/>
        <sz val="10"/>
        <color theme="1"/>
        <rFont val="Arial"/>
        <family val="2"/>
      </rPr>
      <t>L,P,i</t>
    </r>
  </si>
  <si>
    <r>
      <t>q</t>
    </r>
    <r>
      <rPr>
        <vertAlign val="subscript"/>
        <sz val="10"/>
        <color theme="1"/>
        <rFont val="Arial"/>
        <family val="2"/>
      </rPr>
      <t>L,g,E,i</t>
    </r>
    <r>
      <rPr>
        <sz val="10"/>
        <color theme="1"/>
        <rFont val="Arial"/>
        <family val="2"/>
      </rPr>
      <t xml:space="preserve"> * f</t>
    </r>
    <r>
      <rPr>
        <vertAlign val="subscript"/>
        <sz val="10"/>
        <color theme="1"/>
        <rFont val="Arial"/>
        <family val="2"/>
      </rPr>
      <t>P,i</t>
    </r>
  </si>
  <si>
    <r>
      <t>q</t>
    </r>
    <r>
      <rPr>
        <vertAlign val="subscript"/>
        <sz val="10"/>
        <color theme="1"/>
        <rFont val="Arial"/>
        <family val="2"/>
      </rPr>
      <t>L,g,HE,i</t>
    </r>
  </si>
  <si>
    <r>
      <t>q</t>
    </r>
    <r>
      <rPr>
        <vertAlign val="subscript"/>
        <sz val="10"/>
        <color theme="1"/>
        <rFont val="Arial"/>
        <family val="2"/>
      </rPr>
      <t>L,ce,HE</t>
    </r>
  </si>
  <si>
    <r>
      <t>q</t>
    </r>
    <r>
      <rPr>
        <vertAlign val="subscript"/>
        <sz val="10"/>
        <color theme="1"/>
        <rFont val="Arial"/>
        <family val="2"/>
      </rPr>
      <t>L,d,HE</t>
    </r>
  </si>
  <si>
    <r>
      <t>q</t>
    </r>
    <r>
      <rPr>
        <vertAlign val="subscript"/>
        <sz val="10"/>
        <color theme="1"/>
        <rFont val="Arial"/>
        <family val="2"/>
      </rPr>
      <t>L,HE,E</t>
    </r>
  </si>
  <si>
    <r>
      <t>q</t>
    </r>
    <r>
      <rPr>
        <vertAlign val="subscript"/>
        <sz val="10"/>
        <color theme="1"/>
        <rFont val="Arial"/>
        <family val="2"/>
      </rPr>
      <t>L,HE,P</t>
    </r>
  </si>
  <si>
    <r>
      <t>Σq</t>
    </r>
    <r>
      <rPr>
        <vertAlign val="subscript"/>
        <sz val="10"/>
        <color theme="1"/>
        <rFont val="Arial"/>
        <family val="2"/>
      </rPr>
      <t>L,HE,E</t>
    </r>
    <r>
      <rPr>
        <sz val="10"/>
        <color theme="1"/>
        <rFont val="Arial"/>
        <family val="2"/>
      </rPr>
      <t xml:space="preserve"> * f</t>
    </r>
    <r>
      <rPr>
        <vertAlign val="subscript"/>
        <sz val="10"/>
        <color theme="1"/>
        <rFont val="Arial"/>
        <family val="2"/>
      </rPr>
      <t>P</t>
    </r>
  </si>
  <si>
    <r>
      <t>(Σq</t>
    </r>
    <r>
      <rPr>
        <b/>
        <vertAlign val="subscript"/>
        <sz val="10"/>
        <color theme="1"/>
        <rFont val="Arial"/>
        <family val="2"/>
      </rPr>
      <t>TW,P,i</t>
    </r>
    <r>
      <rPr>
        <b/>
        <sz val="10"/>
        <color theme="1"/>
        <rFont val="Arial"/>
        <family val="2"/>
      </rPr>
      <t xml:space="preserve"> + q</t>
    </r>
    <r>
      <rPr>
        <b/>
        <vertAlign val="subscript"/>
        <sz val="10"/>
        <color theme="1"/>
        <rFont val="Arial"/>
        <family val="2"/>
      </rPr>
      <t>TW,HE,P</t>
    </r>
    <r>
      <rPr>
        <b/>
        <sz val="10"/>
        <color theme="1"/>
        <rFont val="Arial"/>
        <family val="2"/>
      </rPr>
      <t>) * A</t>
    </r>
    <r>
      <rPr>
        <b/>
        <vertAlign val="subscript"/>
        <sz val="10"/>
        <color theme="1"/>
        <rFont val="Arial"/>
        <family val="2"/>
      </rPr>
      <t>N</t>
    </r>
  </si>
  <si>
    <r>
      <t>Q</t>
    </r>
    <r>
      <rPr>
        <b/>
        <vertAlign val="subscript"/>
        <sz val="10"/>
        <color theme="1"/>
        <rFont val="Arial"/>
        <family val="2"/>
      </rPr>
      <t>L,P</t>
    </r>
  </si>
  <si>
    <r>
      <t>Σ (q</t>
    </r>
    <r>
      <rPr>
        <b/>
        <vertAlign val="subscript"/>
        <sz val="10"/>
        <color theme="1"/>
        <rFont val="Arial"/>
        <family val="2"/>
      </rPr>
      <t>L,P</t>
    </r>
    <r>
      <rPr>
        <b/>
        <sz val="10"/>
        <color theme="1"/>
        <rFont val="Arial"/>
        <family val="2"/>
      </rPr>
      <t xml:space="preserve"> + q</t>
    </r>
    <r>
      <rPr>
        <b/>
        <vertAlign val="subscript"/>
        <sz val="10"/>
        <color theme="1"/>
        <rFont val="Arial"/>
        <family val="2"/>
      </rPr>
      <t>L,HE,P</t>
    </r>
    <r>
      <rPr>
        <b/>
        <sz val="10"/>
        <color theme="1"/>
        <rFont val="Arial"/>
        <family val="2"/>
      </rPr>
      <t>) * A</t>
    </r>
    <r>
      <rPr>
        <b/>
        <vertAlign val="subscript"/>
        <sz val="10"/>
        <color theme="1"/>
        <rFont val="Arial"/>
        <family val="2"/>
      </rPr>
      <t>N</t>
    </r>
  </si>
  <si>
    <t>HEIZUNG</t>
  </si>
  <si>
    <t>ZUSAMMENFASSUNG</t>
  </si>
  <si>
    <t>Alle Zeilen ein-/ausblenden</t>
  </si>
  <si>
    <t>Lüftung</t>
  </si>
  <si>
    <t>Heizung</t>
  </si>
  <si>
    <t>Flächenermittlung</t>
  </si>
  <si>
    <t>Darstellung von Ergebnissen und Zwischenergebnissen</t>
  </si>
  <si>
    <t>1 Heizwärmebedarf und Wärmebilanz</t>
  </si>
  <si>
    <r>
      <t>h</t>
    </r>
    <r>
      <rPr>
        <sz val="9"/>
        <rFont val="Arial"/>
        <family val="2"/>
      </rPr>
      <t xml:space="preserve"> (eta) [-]</t>
    </r>
  </si>
  <si>
    <r>
      <t>Q</t>
    </r>
    <r>
      <rPr>
        <b/>
        <vertAlign val="subscript"/>
        <sz val="9"/>
        <rFont val="Arial"/>
        <family val="2"/>
      </rPr>
      <t>h</t>
    </r>
    <r>
      <rPr>
        <b/>
        <sz val="9"/>
        <rFont val="Arial"/>
        <family val="2"/>
      </rPr>
      <t xml:space="preserve"> [kWh/mth]</t>
    </r>
  </si>
  <si>
    <r>
      <t>Q</t>
    </r>
    <r>
      <rPr>
        <vertAlign val="subscript"/>
        <sz val="9"/>
        <rFont val="Arial"/>
        <family val="2"/>
      </rPr>
      <t>l,M</t>
    </r>
    <r>
      <rPr>
        <sz val="9"/>
        <rFont val="Arial"/>
        <family val="2"/>
      </rPr>
      <t xml:space="preserve"> [kWh/mth]</t>
    </r>
  </si>
  <si>
    <r>
      <t>Q</t>
    </r>
    <r>
      <rPr>
        <vertAlign val="subscript"/>
        <sz val="9"/>
        <rFont val="Arial"/>
        <family val="2"/>
      </rPr>
      <t>g,M</t>
    </r>
    <r>
      <rPr>
        <sz val="9"/>
        <rFont val="Arial"/>
        <family val="2"/>
      </rPr>
      <t xml:space="preserve"> [kWh/mth]</t>
    </r>
  </si>
  <si>
    <t>Jahr</t>
  </si>
  <si>
    <t>eta</t>
  </si>
  <si>
    <t>gamma</t>
  </si>
  <si>
    <t>QlNA</t>
  </si>
  <si>
    <t>Ql</t>
  </si>
  <si>
    <t>Qh</t>
  </si>
  <si>
    <t>Qg</t>
  </si>
  <si>
    <t>Legende</t>
  </si>
  <si>
    <t>Wärmeverlust (bei Nachtabschaltung) abzüglich solarer Wärmegewinne opaker Bauteile</t>
  </si>
  <si>
    <r>
      <t>Heizwärmebedarf Q</t>
    </r>
    <r>
      <rPr>
        <vertAlign val="subscript"/>
        <sz val="9"/>
        <rFont val="Arial"/>
        <family val="2"/>
      </rPr>
      <t>h,M</t>
    </r>
    <r>
      <rPr>
        <sz val="9"/>
        <rFont val="Arial"/>
        <family val="2"/>
      </rPr>
      <t xml:space="preserve"> = Q</t>
    </r>
    <r>
      <rPr>
        <vertAlign val="subscript"/>
        <sz val="9"/>
        <rFont val="Arial"/>
        <family val="2"/>
      </rPr>
      <t>l,M</t>
    </r>
    <r>
      <rPr>
        <sz val="9"/>
        <rFont val="Arial"/>
        <family val="2"/>
      </rPr>
      <t xml:space="preserve"> - </t>
    </r>
    <r>
      <rPr>
        <sz val="9"/>
        <rFont val="Symbol"/>
        <family val="1"/>
        <charset val="2"/>
      </rPr>
      <t>h</t>
    </r>
    <r>
      <rPr>
        <vertAlign val="subscript"/>
        <sz val="9"/>
        <rFont val="Arial"/>
        <family val="2"/>
      </rPr>
      <t>M</t>
    </r>
    <r>
      <rPr>
        <sz val="9"/>
        <rFont val="Arial"/>
        <family val="2"/>
      </rPr>
      <t xml:space="preserve"> * Q</t>
    </r>
    <r>
      <rPr>
        <vertAlign val="subscript"/>
        <sz val="9"/>
        <rFont val="Arial"/>
        <family val="2"/>
      </rPr>
      <t>g,M</t>
    </r>
  </si>
  <si>
    <t>solare Wärmegewinne transparenter Bauteile und interne Wärmegewinne</t>
  </si>
  <si>
    <t>QlNAop</t>
  </si>
  <si>
    <t>Qgnutz</t>
  </si>
  <si>
    <t>nutzbare Wärmegewinne (solar transparent und intern)</t>
  </si>
  <si>
    <t>Ausnutzungsgrad der Wärmegewinne (solar transparent und intern)</t>
  </si>
  <si>
    <r>
      <t>Q</t>
    </r>
    <r>
      <rPr>
        <vertAlign val="subscript"/>
        <sz val="9"/>
        <rFont val="Arial"/>
        <family val="2"/>
      </rPr>
      <t>h</t>
    </r>
    <r>
      <rPr>
        <sz val="9"/>
        <rFont val="Arial"/>
        <family val="2"/>
      </rPr>
      <t xml:space="preserve"> [kWh/mth]</t>
    </r>
  </si>
  <si>
    <t>Transmissionswärmeverluste</t>
  </si>
  <si>
    <t>ausschließlich Außenwände</t>
  </si>
  <si>
    <t>Außenwände</t>
  </si>
  <si>
    <t>AW</t>
  </si>
  <si>
    <t>Fenster</t>
  </si>
  <si>
    <t>W</t>
  </si>
  <si>
    <t>Türen</t>
  </si>
  <si>
    <t>T</t>
  </si>
  <si>
    <t>D</t>
  </si>
  <si>
    <t>Abseitenwände/-decken</t>
  </si>
  <si>
    <t>AbW</t>
  </si>
  <si>
    <t>Innenwände</t>
  </si>
  <si>
    <t>AB</t>
  </si>
  <si>
    <t>unterer Abschluss</t>
  </si>
  <si>
    <t>G</t>
  </si>
  <si>
    <t>Wärmebrücken</t>
  </si>
  <si>
    <t>WB</t>
  </si>
  <si>
    <t>Summe</t>
  </si>
  <si>
    <t>HT [W/K]</t>
  </si>
  <si>
    <r>
      <t>H</t>
    </r>
    <r>
      <rPr>
        <b/>
        <vertAlign val="subscript"/>
        <sz val="9"/>
        <color theme="1"/>
        <rFont val="Arial"/>
        <family val="2"/>
      </rPr>
      <t>T</t>
    </r>
    <r>
      <rPr>
        <b/>
        <sz val="9"/>
        <color theme="1"/>
        <rFont val="Arial"/>
        <family val="2"/>
      </rPr>
      <t xml:space="preserve"> [W/K]</t>
    </r>
  </si>
  <si>
    <r>
      <t>H</t>
    </r>
    <r>
      <rPr>
        <b/>
        <vertAlign val="subscript"/>
        <sz val="9"/>
        <color theme="0" tint="-0.34998626667073579"/>
        <rFont val="Arial"/>
        <family val="2"/>
      </rPr>
      <t>T</t>
    </r>
    <r>
      <rPr>
        <b/>
        <sz val="9"/>
        <color theme="0" tint="-0.34998626667073579"/>
        <rFont val="Arial"/>
        <family val="2"/>
      </rPr>
      <t xml:space="preserve"> [W/K]</t>
    </r>
  </si>
  <si>
    <t>HT AW</t>
  </si>
  <si>
    <t>HT W</t>
  </si>
  <si>
    <t>HT T</t>
  </si>
  <si>
    <t>HT D</t>
  </si>
  <si>
    <t>HT DW</t>
  </si>
  <si>
    <t>Dach</t>
  </si>
  <si>
    <t>Dachfenster</t>
  </si>
  <si>
    <t>DW</t>
  </si>
  <si>
    <t>oberste Geschossdecke</t>
  </si>
  <si>
    <t>DG</t>
  </si>
  <si>
    <t>HT DG</t>
  </si>
  <si>
    <t>HT AbW</t>
  </si>
  <si>
    <t>HT AB</t>
  </si>
  <si>
    <t>2.1.8 Wände, Türen und Decken zu unbeheizten Räumen (angrenzende Bauteile)</t>
  </si>
  <si>
    <t>HT G</t>
  </si>
  <si>
    <t>HT WB</t>
  </si>
  <si>
    <t>Bilanzanteile</t>
  </si>
  <si>
    <t>absolut [kWh/a]</t>
  </si>
  <si>
    <t>Flächenbezug [kWh/(m²a)]</t>
  </si>
  <si>
    <t>Verluste</t>
  </si>
  <si>
    <t>Gewinne</t>
  </si>
  <si>
    <t>-</t>
  </si>
  <si>
    <r>
      <t>Q</t>
    </r>
    <r>
      <rPr>
        <vertAlign val="subscript"/>
        <sz val="9"/>
        <rFont val="Arial"/>
        <family val="2"/>
      </rPr>
      <t>h</t>
    </r>
    <r>
      <rPr>
        <sz val="9"/>
        <rFont val="Arial"/>
        <family val="2"/>
      </rPr>
      <t xml:space="preserve"> </t>
    </r>
  </si>
  <si>
    <r>
      <t>Q</t>
    </r>
    <r>
      <rPr>
        <vertAlign val="subscript"/>
        <sz val="9"/>
        <rFont val="Arial"/>
        <family val="2"/>
      </rPr>
      <t>T</t>
    </r>
    <r>
      <rPr>
        <sz val="9"/>
        <rFont val="Arial"/>
        <family val="2"/>
      </rPr>
      <t xml:space="preserve"> AW</t>
    </r>
  </si>
  <si>
    <r>
      <t>Q</t>
    </r>
    <r>
      <rPr>
        <vertAlign val="subscript"/>
        <sz val="9"/>
        <rFont val="Arial"/>
        <family val="2"/>
      </rPr>
      <t>s,o</t>
    </r>
    <r>
      <rPr>
        <sz val="9"/>
        <rFont val="Arial"/>
        <family val="2"/>
      </rPr>
      <t xml:space="preserve"> AW</t>
    </r>
  </si>
  <si>
    <r>
      <t>Q</t>
    </r>
    <r>
      <rPr>
        <vertAlign val="subscript"/>
        <sz val="9"/>
        <rFont val="Arial"/>
        <family val="2"/>
      </rPr>
      <t>T</t>
    </r>
    <r>
      <rPr>
        <sz val="9"/>
        <rFont val="Arial"/>
        <family val="2"/>
      </rPr>
      <t xml:space="preserve"> W</t>
    </r>
  </si>
  <si>
    <r>
      <t>Q</t>
    </r>
    <r>
      <rPr>
        <vertAlign val="subscript"/>
        <sz val="9"/>
        <rFont val="Arial"/>
        <family val="2"/>
      </rPr>
      <t>s,t,nutzbar</t>
    </r>
    <r>
      <rPr>
        <sz val="9"/>
        <rFont val="Arial"/>
        <family val="2"/>
      </rPr>
      <t xml:space="preserve"> W</t>
    </r>
  </si>
  <si>
    <r>
      <t>Q</t>
    </r>
    <r>
      <rPr>
        <vertAlign val="subscript"/>
        <sz val="9"/>
        <rFont val="Arial"/>
        <family val="2"/>
      </rPr>
      <t>T</t>
    </r>
    <r>
      <rPr>
        <sz val="9"/>
        <rFont val="Arial"/>
        <family val="2"/>
      </rPr>
      <t xml:space="preserve"> T</t>
    </r>
  </si>
  <si>
    <r>
      <t>Q</t>
    </r>
    <r>
      <rPr>
        <vertAlign val="subscript"/>
        <sz val="9"/>
        <rFont val="Arial"/>
        <family val="2"/>
      </rPr>
      <t>s,o</t>
    </r>
    <r>
      <rPr>
        <sz val="9"/>
        <rFont val="Arial"/>
        <family val="2"/>
      </rPr>
      <t xml:space="preserve"> T</t>
    </r>
  </si>
  <si>
    <r>
      <t>Q</t>
    </r>
    <r>
      <rPr>
        <vertAlign val="subscript"/>
        <sz val="9"/>
        <rFont val="Arial"/>
        <family val="2"/>
      </rPr>
      <t>T</t>
    </r>
    <r>
      <rPr>
        <sz val="9"/>
        <rFont val="Arial"/>
        <family val="2"/>
      </rPr>
      <t xml:space="preserve"> D</t>
    </r>
  </si>
  <si>
    <r>
      <t>Q</t>
    </r>
    <r>
      <rPr>
        <vertAlign val="subscript"/>
        <sz val="9"/>
        <rFont val="Arial"/>
        <family val="2"/>
      </rPr>
      <t>s,o</t>
    </r>
    <r>
      <rPr>
        <sz val="9"/>
        <rFont val="Arial"/>
        <family val="2"/>
      </rPr>
      <t xml:space="preserve"> D</t>
    </r>
  </si>
  <si>
    <r>
      <t>Q</t>
    </r>
    <r>
      <rPr>
        <vertAlign val="subscript"/>
        <sz val="9"/>
        <rFont val="Arial"/>
        <family val="2"/>
      </rPr>
      <t>T</t>
    </r>
    <r>
      <rPr>
        <sz val="9"/>
        <rFont val="Arial"/>
        <family val="2"/>
      </rPr>
      <t xml:space="preserve"> AbW</t>
    </r>
  </si>
  <si>
    <r>
      <t>Q</t>
    </r>
    <r>
      <rPr>
        <vertAlign val="subscript"/>
        <sz val="9"/>
        <rFont val="Arial"/>
        <family val="2"/>
      </rPr>
      <t>T</t>
    </r>
    <r>
      <rPr>
        <sz val="9"/>
        <rFont val="Arial"/>
        <family val="2"/>
      </rPr>
      <t xml:space="preserve"> AB</t>
    </r>
  </si>
  <si>
    <r>
      <t>Q</t>
    </r>
    <r>
      <rPr>
        <vertAlign val="subscript"/>
        <sz val="9"/>
        <rFont val="Arial"/>
        <family val="2"/>
      </rPr>
      <t>T</t>
    </r>
    <r>
      <rPr>
        <sz val="9"/>
        <rFont val="Arial"/>
        <family val="2"/>
      </rPr>
      <t xml:space="preserve"> G</t>
    </r>
  </si>
  <si>
    <r>
      <t>Q</t>
    </r>
    <r>
      <rPr>
        <vertAlign val="subscript"/>
        <sz val="9"/>
        <rFont val="Arial"/>
        <family val="2"/>
      </rPr>
      <t>T</t>
    </r>
    <r>
      <rPr>
        <sz val="9"/>
        <rFont val="Arial"/>
        <family val="2"/>
      </rPr>
      <t xml:space="preserve"> WB</t>
    </r>
  </si>
  <si>
    <r>
      <t>Q</t>
    </r>
    <r>
      <rPr>
        <vertAlign val="subscript"/>
        <sz val="9"/>
        <rFont val="Arial"/>
        <family val="2"/>
      </rPr>
      <t>V</t>
    </r>
    <r>
      <rPr>
        <sz val="9"/>
        <rFont val="Arial"/>
        <family val="2"/>
      </rPr>
      <t xml:space="preserve"> </t>
    </r>
  </si>
  <si>
    <r>
      <t>Q</t>
    </r>
    <r>
      <rPr>
        <vertAlign val="subscript"/>
        <sz val="9"/>
        <rFont val="Arial"/>
        <family val="2"/>
      </rPr>
      <t>i,nutzbar</t>
    </r>
    <r>
      <rPr>
        <sz val="9"/>
        <rFont val="Arial"/>
        <family val="2"/>
      </rPr>
      <t xml:space="preserve"> </t>
    </r>
  </si>
  <si>
    <t>Hinweis: der zu deckende Bedarf wird auf der Gewinn-Seite bilanziert.</t>
  </si>
  <si>
    <t>Qh''</t>
  </si>
  <si>
    <t>Transmissionswärmeverlust bei 7 h Nachtabschaltung</t>
  </si>
  <si>
    <t>QTNA</t>
  </si>
  <si>
    <t>QVNA</t>
  </si>
  <si>
    <t>Lüftungswärmeverlust bei 7 h Nachtabschaltung</t>
  </si>
  <si>
    <r>
      <t>Q</t>
    </r>
    <r>
      <rPr>
        <vertAlign val="subscript"/>
        <sz val="9"/>
        <rFont val="Arial"/>
        <family val="2"/>
      </rPr>
      <t>T</t>
    </r>
    <r>
      <rPr>
        <sz val="9"/>
        <rFont val="Arial"/>
        <family val="2"/>
      </rPr>
      <t xml:space="preserve"> DW</t>
    </r>
  </si>
  <si>
    <r>
      <t>Q</t>
    </r>
    <r>
      <rPr>
        <vertAlign val="subscript"/>
        <sz val="9"/>
        <rFont val="Arial"/>
        <family val="2"/>
      </rPr>
      <t>T</t>
    </r>
    <r>
      <rPr>
        <sz val="9"/>
        <rFont val="Arial"/>
        <family val="2"/>
      </rPr>
      <t xml:space="preserve"> DG</t>
    </r>
  </si>
  <si>
    <r>
      <t>Q</t>
    </r>
    <r>
      <rPr>
        <vertAlign val="subscript"/>
        <sz val="9"/>
        <rFont val="Arial"/>
        <family val="2"/>
      </rPr>
      <t>s,t,nutzbar</t>
    </r>
    <r>
      <rPr>
        <sz val="9"/>
        <rFont val="Arial"/>
        <family val="2"/>
      </rPr>
      <t xml:space="preserve"> DW</t>
    </r>
  </si>
  <si>
    <t>nutzbare Wärmegewinne (solar transparent)</t>
  </si>
  <si>
    <t>nutzbare Wärmegewinne (intern)</t>
  </si>
  <si>
    <t>Qgstnutz</t>
  </si>
  <si>
    <t>Qginutz</t>
  </si>
  <si>
    <t>nutzbare Wärmegewinne (solar transparent) - Fenster in Außenwand</t>
  </si>
  <si>
    <t>nutzbare Wärmegewinne (solar transparent) - Dachfenster</t>
  </si>
  <si>
    <t>QgstnutzAW</t>
  </si>
  <si>
    <t>QgstnutzD</t>
  </si>
  <si>
    <t>QsopAW</t>
  </si>
  <si>
    <t>QsopT</t>
  </si>
  <si>
    <t>QsopD</t>
  </si>
  <si>
    <r>
      <t>A</t>
    </r>
    <r>
      <rPr>
        <vertAlign val="subscript"/>
        <sz val="9"/>
        <color theme="1"/>
        <rFont val="Arial"/>
        <family val="2"/>
      </rPr>
      <t>N</t>
    </r>
    <r>
      <rPr>
        <sz val="9"/>
        <color theme="1"/>
        <rFont val="Arial"/>
        <family val="2"/>
      </rPr>
      <t xml:space="preserve"> [m²]</t>
    </r>
  </si>
  <si>
    <r>
      <t>q</t>
    </r>
    <r>
      <rPr>
        <vertAlign val="subscript"/>
        <sz val="9"/>
        <color theme="1"/>
        <rFont val="Arial"/>
        <family val="2"/>
      </rPr>
      <t>h</t>
    </r>
    <r>
      <rPr>
        <sz val="9"/>
        <color theme="1"/>
        <rFont val="Arial"/>
        <family val="2"/>
      </rPr>
      <t xml:space="preserve"> [kWh/(m²a)]</t>
    </r>
  </si>
  <si>
    <t>DIN_D_BS</t>
  </si>
  <si>
    <t>DIN_D_BL</t>
  </si>
  <si>
    <t>DIN_D_BLS</t>
  </si>
  <si>
    <t>DIN_D_NS</t>
  </si>
  <si>
    <t>DIN_D_WPS</t>
  </si>
  <si>
    <t>DIN_D_WPSL</t>
  </si>
  <si>
    <t>DIN_D_WPL</t>
  </si>
  <si>
    <t>DIN_D_WPLL</t>
  </si>
  <si>
    <t>EnEV_BS_kl_beh</t>
  </si>
  <si>
    <t>EnEV_BS_kl_unbeh</t>
  </si>
  <si>
    <t>neuBW&lt;500</t>
  </si>
  <si>
    <t>neuBW</t>
  </si>
  <si>
    <t>TW_d</t>
  </si>
  <si>
    <t>TW_s</t>
  </si>
  <si>
    <t>TW_g</t>
  </si>
  <si>
    <t>H_c</t>
  </si>
  <si>
    <t>H_d</t>
  </si>
  <si>
    <t>H_s</t>
  </si>
  <si>
    <t>H_g</t>
  </si>
  <si>
    <t>L_c</t>
  </si>
  <si>
    <t>L_d</t>
  </si>
  <si>
    <t>L_g</t>
  </si>
  <si>
    <t>L_n</t>
  </si>
  <si>
    <t>nix</t>
  </si>
  <si>
    <t>Verteilung UNbeheizt - mit Zirkulation</t>
  </si>
  <si>
    <t>Verteilung beheizt - mit Zirkulation</t>
  </si>
  <si>
    <t>Verteilung UNbeheizt - ohne Zirkulation</t>
  </si>
  <si>
    <t>Verteilung beheizt - ohne Zirkulation</t>
  </si>
  <si>
    <t>dezentral - 1 Raum 1 Zapfstelle</t>
  </si>
  <si>
    <t>dezentral - 1 Raum mehrere Zapfstellen</t>
  </si>
  <si>
    <t>dezentral - 2 Räume gemeinsame Installationswand</t>
  </si>
  <si>
    <t>wohnungszentral</t>
  </si>
  <si>
    <t>Aufstellung beheizt - indirekt beheizter Speicher</t>
  </si>
  <si>
    <t>Aufstellung beheizt - Elektro-Nachtspeicher</t>
  </si>
  <si>
    <t>Aufstellung beheizt - Elektro-Tagesspeicher</t>
  </si>
  <si>
    <t>Aufstellung beheizt - Elektro-Kleispeicher</t>
  </si>
  <si>
    <t>Aufstellung beheizt - bivalenter Solarspeicher</t>
  </si>
  <si>
    <t>Aufstellung beheizt - gasbeheizter Speicher</t>
  </si>
  <si>
    <t>Aufstellung UNbeheizt - indirekt beheizter Speicher</t>
  </si>
  <si>
    <t>Aufstellung UNbeheizt - Elektro-Nachtspeicher</t>
  </si>
  <si>
    <t>Aufstellung UNbeheizt - Elektro-Tagesspeicher</t>
  </si>
  <si>
    <t>Aufstellung UNbeheizt - Elektro-Kleispeicher</t>
  </si>
  <si>
    <t>Aufstellung UNbeheizt - bivalenter Solarspeicher</t>
  </si>
  <si>
    <t>Aufstellung UNbeheizt - gasbeheizter Speicher</t>
  </si>
  <si>
    <t>Konstanttemperaturkessel</t>
  </si>
  <si>
    <t>Niedertemperaturkessel</t>
  </si>
  <si>
    <t>Brennwertkessel</t>
  </si>
  <si>
    <t>Brennwertkessel verbessert</t>
  </si>
  <si>
    <t>Kombikessel NT - DL</t>
  </si>
  <si>
    <t>Kombikessel NT - KSp</t>
  </si>
  <si>
    <t>Kombikessel Brennwert - DL</t>
  </si>
  <si>
    <t>Kombikessel Brennwert - KSp</t>
  </si>
  <si>
    <t>Gas-Speicherwassererwärmer</t>
  </si>
  <si>
    <t>Elektro-Heizstab</t>
  </si>
  <si>
    <t>E-Durchlauferhitzer, Speicher</t>
  </si>
  <si>
    <t>Nah-/Fernwärme</t>
  </si>
  <si>
    <t>Elektro-HEIZUNGS-WP Wasser/Wasser MIT elektr. Ergänzungsheizung</t>
  </si>
  <si>
    <t>Elektro-WP Erdreich(Sole)/Wasser MIT elektr. Ergänzungsheizung</t>
  </si>
  <si>
    <t>Elektro-WP Luft/Wasser MIT elektr. Ergänzungsheizung</t>
  </si>
  <si>
    <t>Elektro-WP Abluft/Wasser MIT elektr. Ergänzungsheizung</t>
  </si>
  <si>
    <t>Elektro-HEIZUNGS-WP Wasser/Wasser OHNE elektr. Ergänzungsheizung</t>
  </si>
  <si>
    <t>Elektro-WP Erdreich(Sole)/Wasser OHNE elektr. Ergänzungsheizung</t>
  </si>
  <si>
    <t>Elektro-WP Luft/Wasser OHNE elektr. Ergänzungsheizung</t>
  </si>
  <si>
    <t>Elektro-WP Abluft/Wasser OHNE elektr. Ergänzungsheizung</t>
  </si>
  <si>
    <t>solare Trinkwassererwärmung - Speicher und Verteilleiungen beheizt, MIT Zirkulation</t>
  </si>
  <si>
    <t>solare Trinkwassererwärmung - Speicher und Verteilleiungen beheizt, OHNE Zirkulation</t>
  </si>
  <si>
    <t>solare Trinkwassererwärmung - Speicher und Verteilleiungen UNbeheizt, MIT Zirkulation</t>
  </si>
  <si>
    <t>solare Trinkwassererwärmung - Speicher und Verteilleiungen UNbeheizt, OHNE Zirkulation</t>
  </si>
  <si>
    <t>Wasserheizung, Thermostatventil, 1K oder Fußbodenhzt., Einzelraumregler, 1K</t>
  </si>
  <si>
    <t>Wasserheizung, Thermostatventil, 2K oder Fußbodenhzt., Einzelraumregler, 2K</t>
  </si>
  <si>
    <t>Elektroheizung Direkt, Anordnung Außenwandbereich</t>
  </si>
  <si>
    <t>Elektroheizung Speicher, Anordnung Außenwandbereich</t>
  </si>
  <si>
    <t>Elektroheizung Speicher 80%, Direkt 20%</t>
  </si>
  <si>
    <t>dezentral</t>
  </si>
  <si>
    <t>Verteilung horiz UNbeheizt - Stränge außen 90/70 - geregelte Pumpen</t>
  </si>
  <si>
    <t>Verteilung horiz UNbeheizt - Stränge außen 70/55 - geregelte Pumpen</t>
  </si>
  <si>
    <t>Verteilung horiz UNbeheizt - Stränge außen 55/45 - geregelte Pumpen</t>
  </si>
  <si>
    <t>Verteilung horiz UNbeheizt - Stränge außen 35/28 - geregelte Pumpen</t>
  </si>
  <si>
    <t>Verteilung horiz UNbeheizt - Stränge innen 90/70 - geregelte Pumpen</t>
  </si>
  <si>
    <t>Verteilung horiz UNbeheizt - Stränge innen 70/55 - geregelte Pumpen</t>
  </si>
  <si>
    <t>Verteilung horiz UNbeheizt - Stränge innen 55/45 - geregelte Pumpen</t>
  </si>
  <si>
    <t>Verteilung horiz UNbeheizt - Stränge innen 35/28 - geregelte Pumpen</t>
  </si>
  <si>
    <t>Verteilung horiz beheizt - Stränge außen 90/70 - geregelte Pumpen</t>
  </si>
  <si>
    <t>Verteilung horiz beheizt - Stränge außen 70/55 - geregelte Pumpen</t>
  </si>
  <si>
    <t>Verteilung horiz beheizt - Stränge außen 55/45 - geregelte Pumpen</t>
  </si>
  <si>
    <t>Verteilung horiz beheizt - Stränge außen 35/28 - geregelte Pumpen</t>
  </si>
  <si>
    <t>Verteilung horiz beheizt - Stränge innen 90/70 - geregelte Pumpen</t>
  </si>
  <si>
    <t>Verteilung horiz beheizt - Stränge innen 70/55 - geregelte Pumpen</t>
  </si>
  <si>
    <t>Verteilung horiz beheizt - Stränge innen 55/45 - geregelte Pumpen</t>
  </si>
  <si>
    <t>Verteilung horiz beheizt - Stränge innen 35/28 - geregelte Pumpen</t>
  </si>
  <si>
    <t>Verteilung horiz UNbeheizt - Stränge außen 90/70 - UNgeregelte Pumpen</t>
  </si>
  <si>
    <t>Verteilung horiz UNbeheizt - Stränge außen 70/55 - UNgeregelte Pumpen</t>
  </si>
  <si>
    <t>Verteilung horiz UNbeheizt - Stränge außen 55/45 - UNgeregelte Pumpen</t>
  </si>
  <si>
    <t>Verteilung horiz UNbeheizt - Stränge außen 35/28 - UNgeregelte Pumpen</t>
  </si>
  <si>
    <t>Verteilung horiz UNbeheizt - Stränge innen 90/70 - UNgeregelte Pumpen</t>
  </si>
  <si>
    <t>Verteilung horiz UNbeheizt - Stränge innen 70/55 - UNgeregelte Pumpen</t>
  </si>
  <si>
    <t>Verteilung horiz UNbeheizt - Stränge innen 55/45 - UNgeregelte Pumpen</t>
  </si>
  <si>
    <t>Verteilung horiz UNbeheizt - Stränge innen 35/28 - UNgeregelte Pumpen</t>
  </si>
  <si>
    <t>Verteilung horiz beheizt - Stränge außen 90/70 - UNgeregelte Pumpen</t>
  </si>
  <si>
    <t>Verteilung horiz beheizt - Stränge außen 70/55 - UNgeregelte Pumpen</t>
  </si>
  <si>
    <t>Verteilung horiz beheizt - Stränge außen 55/45 - UNgeregelte Pumpen</t>
  </si>
  <si>
    <t>Verteilung horiz beheizt - Stränge außen 35/28 - UNgeregelte Pumpen</t>
  </si>
  <si>
    <t>Verteilung horiz beheizt - Stränge innen 90/70 - UNgeregelte Pumpen</t>
  </si>
  <si>
    <t>Verteilung horiz beheizt - Stränge innen 70/55 - UNgeregelte Pumpen</t>
  </si>
  <si>
    <t>Verteilung horiz beheizt - Stränge innen 55/45 - UNgeregelte Pumpen</t>
  </si>
  <si>
    <t>Verteilung horiz beheizt - Stränge innen 35/28 - UNgeregelte Pumpen</t>
  </si>
  <si>
    <t>beheizt - 55/45</t>
  </si>
  <si>
    <t>beheizt - 35/28</t>
  </si>
  <si>
    <t>UNbeheizt - 55/45</t>
  </si>
  <si>
    <t>UNbeheizt - 35/28</t>
  </si>
  <si>
    <t>Niedertemperaturkessel 70/55</t>
  </si>
  <si>
    <t>Niedertemperaturkessel 55/45</t>
  </si>
  <si>
    <t>Niedertemperaturkessel 35/28</t>
  </si>
  <si>
    <t>Brennwertkessel 70/55</t>
  </si>
  <si>
    <t>Brennwertkessel 55/45</t>
  </si>
  <si>
    <t>Brennwertkessel 35/28</t>
  </si>
  <si>
    <t>Brennwertkessel verbessert 70/55</t>
  </si>
  <si>
    <t>Brennwertkessel verbessert 55/45</t>
  </si>
  <si>
    <t>Brennwertkessel verbessert 35/28</t>
  </si>
  <si>
    <t>Konstanttemperaturkessel - raumluftunabhängig</t>
  </si>
  <si>
    <t>Niedertemperaturkessel 70/55 raumluftunabhängig</t>
  </si>
  <si>
    <t>Niedertemperaturkessel 55/45 raumluftunabhängig</t>
  </si>
  <si>
    <t>Niedertemperaturkessel 35/28 raumluftunabhängig</t>
  </si>
  <si>
    <t>Brennwertkessel 70/55 - raumluftunabhängig</t>
  </si>
  <si>
    <t>Brennwertkessel 55/45 - raumluftunabhängig</t>
  </si>
  <si>
    <t>Brennwertkessel 35/28 - raumluftunabhängig</t>
  </si>
  <si>
    <t>Brennwertkessel verbessert 70/55 - raumluftunabhängig</t>
  </si>
  <si>
    <t>Brennwertkessel verbessert 55/45 - raumluftunabhängig</t>
  </si>
  <si>
    <t>Brennwertkessel verbessert 35/28 - raumluftunabhängig</t>
  </si>
  <si>
    <t>Elektro-Direkt oder -Speicher</t>
  </si>
  <si>
    <t>Fern- und Nahwärme</t>
  </si>
  <si>
    <t>Elektro-WP Wasser/Wasser 55/45</t>
  </si>
  <si>
    <t>Elektro-WP Wasser/Wasser 55/45 - MIT elektr. Ergänzungsheizung</t>
  </si>
  <si>
    <t>Elektro-WP Wasser/Wasser 35/28</t>
  </si>
  <si>
    <t>Elektro-WP Wasser/Wasser 35/28 - MIT elektr. Ergänzungsheizung</t>
  </si>
  <si>
    <t>Elektro-WP Erdreich/Wasser 55/45</t>
  </si>
  <si>
    <t>Elektro-WP Erdreich/Wasser 55/45 - MIT elektr. Ergänzungsheizung</t>
  </si>
  <si>
    <t>Elektro-WP Erdreich/Wasser 35/28</t>
  </si>
  <si>
    <t>Elektro-WP Erdreich/Wasser 35/28 - MIT elektr. Ergänzungsheizung</t>
  </si>
  <si>
    <t>Elektro-WP Luft/Wasser 55/45</t>
  </si>
  <si>
    <t>Elektro-WP Luft/Wasser 55/45 - MIT elektr. Ergänzungsheizung</t>
  </si>
  <si>
    <t>Elektro-WP Luft/Wasser 35/28</t>
  </si>
  <si>
    <t>Elektro-WP Luft/Wasser 35/28 - MIT elektr. Ergänzungsheizung</t>
  </si>
  <si>
    <t>Elektro-WP Abluft/Wasser ohne WRG 55/45</t>
  </si>
  <si>
    <t>Elektro-WP Abluft/Wasser ohne WRG 55/45 - MIT elektr. Ergänzungsheizung</t>
  </si>
  <si>
    <t>Elektro-WP Abluft/Wasser ohne WRG 35/28</t>
  </si>
  <si>
    <t>Elektro-WP Abluft/Wasser ohne WRG 35/28 - MIT elektr. Ergänzungsheizung</t>
  </si>
  <si>
    <t>Luftauslässe Außenwand - mit Einzelraumregelung</t>
  </si>
  <si>
    <t>Luftauslässe Außenwand - mit zentraler Vorregelung</t>
  </si>
  <si>
    <t>Luftauslässe Außenwand - ohne zentraler Vorregelung</t>
  </si>
  <si>
    <t>Luftauslässe Innenwand - mit Einzelraumregelung</t>
  </si>
  <si>
    <t>Luftauslässe Innenwand - mit zentraler Vorregelung</t>
  </si>
  <si>
    <t>Luftauslässe Innenwand - ohne zentraler Vorregelung</t>
  </si>
  <si>
    <t>Lufttemperaturen &lt; 20°C (=0)</t>
  </si>
  <si>
    <t>Verteil UNbeheizt Dach, WRG durch WÜT 60%</t>
  </si>
  <si>
    <t>Verteil UNbeheizt Dach, WRG durch WÜT 80%</t>
  </si>
  <si>
    <t>Verteil UNbeheizt Dach, Z/A-WP ohne WÜT AC</t>
  </si>
  <si>
    <t>Verteil UNbeheizt Dach, Z/A-WP 60% AC</t>
  </si>
  <si>
    <t>Verteil UNbeheizt Dach, Z/A-WP 60% DC</t>
  </si>
  <si>
    <t>Verteil UNbeheizt Dach, Heizregister 35°</t>
  </si>
  <si>
    <t>Verteil UNbeheizt Dach, Heizregister 45°</t>
  </si>
  <si>
    <t>Verteil UNbeheizt Keller, WRG durch WÜT 60%</t>
  </si>
  <si>
    <t>Verteil UNbeheizt Keller, WRG durch WÜT 80%</t>
  </si>
  <si>
    <t>Verteil UNbeheizt Keller, Z/A-WP ohne WÜT AC</t>
  </si>
  <si>
    <t>Verteil UNbeheizt Keller, Z/A-WP 60% AC</t>
  </si>
  <si>
    <t>Verteil UNbeheizt Keller, Z/A-WP 60% DC</t>
  </si>
  <si>
    <t>Verteil UNbeheizt Keller, Heizregister 35°</t>
  </si>
  <si>
    <t>Verteil UNbeheizt Keller, Heizregister 45°</t>
  </si>
  <si>
    <t>Verteil beheizt, WRG durch WÜT 60%</t>
  </si>
  <si>
    <t>Verteil beheizt, WRG durch WÜT 80%</t>
  </si>
  <si>
    <t>Verteil beheizt, Z/A-WP ohne WÜT AC</t>
  </si>
  <si>
    <t>Verteil beheizt, Z/A-WP 60% AC</t>
  </si>
  <si>
    <t>Verteil beheizt, Z/A-WP 60% DC</t>
  </si>
  <si>
    <t>Verteil beheizt, Heizregister 35°</t>
  </si>
  <si>
    <t>Verteil beheizt, Heizregister 45°</t>
  </si>
  <si>
    <t>Abluft/Zuluft mit WRG - zentral 60% AC</t>
  </si>
  <si>
    <t>Abluft/Zuluft mit WRG - zentral 60% DC</t>
  </si>
  <si>
    <t>Abluft/Zuluft mit WRG - zentral 80% DC</t>
  </si>
  <si>
    <t>Abluft/Zuluft mit WRG - zentral mit A/Z-WP 60% AC</t>
  </si>
  <si>
    <t>Abluft/Zuluft mit WRG - zentral mit A/Z-WP 60% DC</t>
  </si>
  <si>
    <t>Abluft/Zuluft mit WRG - zentral mit A/Z-WP 80% AC</t>
  </si>
  <si>
    <t>Abluft/Zuluft mit WRG - zentral mit A/Z-WP 80% DC</t>
  </si>
  <si>
    <t>Abluft/Zuluft mit WRG - DEzentral 60% AC oder DC</t>
  </si>
  <si>
    <t>Abluft/Zuluft mit WRG - DEzentral 80% AC oder DC</t>
  </si>
  <si>
    <t>Abluftanlage ohne WRG - AC-Ventilator</t>
  </si>
  <si>
    <t>Abluftanlage ohne WRG - DC-Ventilator</t>
  </si>
  <si>
    <t>Abluftanlage ohne WRG - AC-Vent. mit A/W-WP</t>
  </si>
  <si>
    <t>Abluftanlage ohne WRG - DC-Vent. mit A/W-WP</t>
  </si>
  <si>
    <t>Abluft/Zuluft mit WRG - zentral 60% AC - Nutzung für TWW</t>
  </si>
  <si>
    <t>Abluft/Zuluft mit WRG - zentral 60% DC - Nutzung für TWW</t>
  </si>
  <si>
    <t>Abluft/Zuluft mit WRG - zentral 80% DC - Nutzung für TWW</t>
  </si>
  <si>
    <t>Abluft/Zuluft mit WRG - zentral mit A/Z-WP 60% AC - Nutzung für TWW</t>
  </si>
  <si>
    <t>Abluft/Zuluft mit WRG - zentral mit A/Z-WP 60% DC - Nutzung für TWW</t>
  </si>
  <si>
    <t>Abluft/Zuluft mit WRG - zentral mit A/Z-WP 80% AC - Nutzung für TWW</t>
  </si>
  <si>
    <t>Abluft/Zuluft mit WRG - zentral mit A/Z-WP 80% DC - Nutzung für TWW</t>
  </si>
  <si>
    <t>Abluft/Zuluft mit WRG - DEzentral 60% AC oder DC - Nutzung für TWW</t>
  </si>
  <si>
    <t>Abluft/Zuluft mit WRG - DEzentral 80% AC oder DC - Nutzung für TWW</t>
  </si>
  <si>
    <t>Abluftanlage ohne WRG - AC-Ventilator - Nutzung für TWW</t>
  </si>
  <si>
    <t>Abluftanlage ohne WRG - DC-Ventilator - Nutzung für TWW</t>
  </si>
  <si>
    <t>Abluftanlage ohne WRG - AC-Vent. mit A/W-WP - Nutzung für TWW</t>
  </si>
  <si>
    <t>Abluftanlage ohne WRG - DC-Vent. mit A/W-WP - Nutzung für TWW</t>
  </si>
  <si>
    <t>n = 0,4</t>
  </si>
  <si>
    <t>n = 0,5</t>
  </si>
  <si>
    <t>n = 0,6</t>
  </si>
  <si>
    <t>n = 0,7</t>
  </si>
  <si>
    <t>n = 0,8</t>
  </si>
  <si>
    <t>n = 0,9</t>
  </si>
  <si>
    <t>n = 1</t>
  </si>
  <si>
    <t>&lt; 500 m²</t>
  </si>
  <si>
    <t>Trinkwasser-</t>
  </si>
  <si>
    <t>erwärmung</t>
  </si>
  <si>
    <t>Speicherung</t>
  </si>
  <si>
    <t>bivalenter Solarspeicher, Aufstellung innerhalb thermischer Hülle</t>
  </si>
  <si>
    <t xml:space="preserve">Verteilung
</t>
  </si>
  <si>
    <t>horizontale Verteilung innerhalb thermischer Hülle, Verteilungsstränge innenliegend, geregelte Pumpen</t>
  </si>
  <si>
    <r>
      <t>Nutzfläche A</t>
    </r>
    <r>
      <rPr>
        <vertAlign val="subscript"/>
        <sz val="9"/>
        <color theme="1"/>
        <rFont val="Arial"/>
        <family val="2"/>
      </rPr>
      <t>N</t>
    </r>
  </si>
  <si>
    <t>kein L_n</t>
  </si>
  <si>
    <t>Nr</t>
  </si>
  <si>
    <t>indirekt beheizter Speicher, Aufstellung innerhalb thermischer Hülle</t>
  </si>
  <si>
    <t>Elektro-Nachtspeicher, Aufstellung innerhalb thermischer Hülle</t>
  </si>
  <si>
    <t>Elektro-Tagesspeicher, Aufstellung innerhalb thermischer Hülle</t>
  </si>
  <si>
    <t>Elektro-Kleinspeicher, Aufstellung innerhalb thermischer Hülle</t>
  </si>
  <si>
    <t>gasbeheizter Speicher, Aufstellung innerhalb thermischer Hülle</t>
  </si>
  <si>
    <t>indirekt beheizter Speicher, Aufstellung außerhalb thermischer Hülle</t>
  </si>
  <si>
    <t>Elektro-Nachtspeicher, Aufstellung außerhalb thermischer Hülle</t>
  </si>
  <si>
    <t>Elektro-Tagesspeicher, Aufstellung außerhalb thermischer Hülle</t>
  </si>
  <si>
    <t>Elektro-Kleinspeicher, Aufstellung außerhalb thermischer Hülle</t>
  </si>
  <si>
    <t>bivalenter Solarspeicher, Aufstellung außerhalb thermischer Hülle</t>
  </si>
  <si>
    <t>gasbeheizter Speicher, Aufstellung außerhalb thermischer Hülle</t>
  </si>
  <si>
    <t>- keine Verteilung</t>
  </si>
  <si>
    <t>- keine Speicherung</t>
  </si>
  <si>
    <t>- keine Erzeugung</t>
  </si>
  <si>
    <t>Radiatoren, Anordnung im Außenwandbereich, Thermostatventile, 1K</t>
  </si>
  <si>
    <t>Radiatoren, Anordnung im Außenwandbereich, Thermostatventile, 2K</t>
  </si>
  <si>
    <t>horizontale Verteilung außerhalb thermischer Hülle, Verteilungsstränge außenliegend, geregelte Pumpen</t>
  </si>
  <si>
    <t>horizontale Verteilung außerhalb thermischer Hülle, Verteilungsstränge innenliegend, geregelte Pumpen</t>
  </si>
  <si>
    <t>horizontale Verteilung innerhalb thermischer Hülle, Verteilungsstränge außenliegend, geregelte Pumpen</t>
  </si>
  <si>
    <t>horizontale Verteilung außerhalb thermischer Hülle, Verteilungsstränge außenliegend, ungeregelte Pumpen</t>
  </si>
  <si>
    <t>horizontale Verteilung außerhalb thermischer Hülle, Verteilungsstränge innenliegend, ungeregelte Pumpen</t>
  </si>
  <si>
    <t>horizontale Verteilung innerhalb thermischer Hülle, Verteilungsstränge außenliegend, ungeregelte Pumpen</t>
  </si>
  <si>
    <t>horizontale Verteilung innerhalb thermischer Hülle, Verteilungsstränge innenliegend, ungeregelte Pumpen</t>
  </si>
  <si>
    <t>- keine Übergabe</t>
  </si>
  <si>
    <t>Elektro-Direkt- oder -Speicherheizung</t>
  </si>
  <si>
    <t xml:space="preserve">Niedertemperaturkessel, 70/55°C, </t>
  </si>
  <si>
    <t>Niedertemperaturkessel, 55/45°C</t>
  </si>
  <si>
    <t>Niedertemperaturkessel, 35/28°C</t>
  </si>
  <si>
    <t>Brennwertkessel, 70/55°C</t>
  </si>
  <si>
    <t>Brennwertkessel, 55/45°C</t>
  </si>
  <si>
    <t>Brennwertkessel, 35/28°C</t>
  </si>
  <si>
    <t>Brennwertkessel verbessert, 70/55°C</t>
  </si>
  <si>
    <t>Brennwertkessel verbessert, 55/45°C</t>
  </si>
  <si>
    <t>Brennwertkessel verbessert, 35/28°C</t>
  </si>
  <si>
    <t>Konstanttemperaturkessel, Aufstellung innerhalb thermischer Hülle</t>
  </si>
  <si>
    <t>Niedertemperaturkessel, 70/55°C, Aufstellung innerhalb thermischer Hülle</t>
  </si>
  <si>
    <t>Niedertemperaturkessel, 55/45°C, Aufstellung innerhalb thermischer Hülle</t>
  </si>
  <si>
    <t>Niedertemperaturkessel, 35/28°C, Aufstellung innerhalb thermischer Hülle</t>
  </si>
  <si>
    <t>Brennwertkessel, 70/55°C, Aufstellung innerhalb thermischer Hülle</t>
  </si>
  <si>
    <t>Brennwertkessel, 55/45°C, Aufstellung innerhalb thermischer Hülle</t>
  </si>
  <si>
    <t>Brennwertkessel, 35/28°C, Aufstellung innerhalb thermischer Hülle</t>
  </si>
  <si>
    <t>Brennwertkessel verbessert, 70/55°C, Aufstellung innerhalb thermischer Hülle</t>
  </si>
  <si>
    <t>Brennwertkessel verbessert, 55/45°C, Aufstellung innerhalb thermischer Hülle</t>
  </si>
  <si>
    <t>Brennwertkessel verbessert, 35/28°C, Aufstellung innerhalb thermischer Hülle</t>
  </si>
  <si>
    <t>Aufstellung innerhalb der thermischen Hülle</t>
  </si>
  <si>
    <t>Aufstellung außerhalb der thermischen Hülle</t>
  </si>
  <si>
    <t>Lufttemperaturen &lt; 20°C</t>
  </si>
  <si>
    <t>außerhalb thermischer Hülle, mit Zirkulation</t>
  </si>
  <si>
    <t>innerhalb thermischer Hülle, mit Zirkulation</t>
  </si>
  <si>
    <t>außerhalb thermischer Hülle, ohne Zirkulation</t>
  </si>
  <si>
    <t>innerhalb thermischer Hülle, ohne Zirkulation</t>
  </si>
  <si>
    <t>beheizt</t>
  </si>
  <si>
    <t>, WRG durch WÜT</t>
  </si>
  <si>
    <t>Abluft/Zuluft mit WRG</t>
  </si>
  <si>
    <t>Abluft/Zuluft ohne WRG</t>
  </si>
  <si>
    <t xml:space="preserve"> 60%</t>
  </si>
  <si>
    <t xml:space="preserve"> 80%</t>
  </si>
  <si>
    <t>, Luftwechsel 0,4 1/h</t>
  </si>
  <si>
    <t>, zentral</t>
  </si>
  <si>
    <t>, AC-Ventilatoren</t>
  </si>
  <si>
    <t>, DC-Ventilatoren</t>
  </si>
  <si>
    <t>, AC- oder DC-Ventilatoren</t>
  </si>
  <si>
    <t>, dezentral</t>
  </si>
  <si>
    <t>, Abluft/Wasser-Wärmepumpe</t>
  </si>
  <si>
    <t>, Nutzung für Trinwarmwasser</t>
  </si>
  <si>
    <t>AN</t>
  </si>
  <si>
    <t>&lt; 3.000 m²</t>
  </si>
  <si>
    <t>&gt;= 500 m²</t>
  </si>
  <si>
    <t>beliebig</t>
  </si>
  <si>
    <t>L_n könnten auch alle 0 sein, oder 1, oder?</t>
  </si>
  <si>
    <t>Code</t>
  </si>
  <si>
    <r>
      <rPr>
        <b/>
        <sz val="10"/>
        <rFont val="Arial"/>
        <family val="2"/>
      </rPr>
      <t>vorhandener</t>
    </r>
    <r>
      <rPr>
        <sz val="10"/>
        <rFont val="Arial"/>
        <family val="2"/>
      </rPr>
      <t xml:space="preserve"> Jahres-Primärenergiebedarf</t>
    </r>
  </si>
  <si>
    <t>Anforderung an den Jahres-Primärenergiebedarf</t>
  </si>
  <si>
    <r>
      <t>H</t>
    </r>
    <r>
      <rPr>
        <vertAlign val="subscript"/>
        <sz val="10"/>
        <rFont val="Arial"/>
        <family val="2"/>
      </rPr>
      <t>T</t>
    </r>
    <r>
      <rPr>
        <sz val="10"/>
        <rFont val="Arial"/>
        <family val="2"/>
      </rPr>
      <t>'</t>
    </r>
    <r>
      <rPr>
        <vertAlign val="subscript"/>
        <sz val="10"/>
        <rFont val="Arial"/>
        <family val="2"/>
      </rPr>
      <t>vorh</t>
    </r>
    <r>
      <rPr>
        <sz val="10"/>
        <rFont val="Arial"/>
        <family val="2"/>
      </rPr>
      <t xml:space="preserve"> &lt;= H</t>
    </r>
    <r>
      <rPr>
        <vertAlign val="subscript"/>
        <sz val="10"/>
        <rFont val="Arial"/>
        <family val="2"/>
      </rPr>
      <t>T</t>
    </r>
    <r>
      <rPr>
        <sz val="10"/>
        <rFont val="Arial"/>
        <family val="2"/>
      </rPr>
      <t>'</t>
    </r>
    <r>
      <rPr>
        <vertAlign val="subscript"/>
        <sz val="10"/>
        <rFont val="Arial"/>
        <family val="2"/>
      </rPr>
      <t>max</t>
    </r>
  </si>
  <si>
    <r>
      <rPr>
        <b/>
        <sz val="10"/>
        <rFont val="Arial"/>
        <family val="2"/>
      </rPr>
      <t>vorhandener</t>
    </r>
    <r>
      <rPr>
        <sz val="10"/>
        <rFont val="Arial"/>
        <family val="2"/>
      </rPr>
      <t xml:space="preserve"> spezifischer auf die Hüllfläche bezogener Transmissionswärmeverlust</t>
    </r>
  </si>
  <si>
    <t>für ein Gebäude mit normalen Innentemperaturen</t>
  </si>
  <si>
    <t>Ort, Straße, Hausnr.</t>
  </si>
  <si>
    <t>Gemarkung</t>
  </si>
  <si>
    <t>Flurstücknummer</t>
  </si>
  <si>
    <t>I. Eingaben</t>
  </si>
  <si>
    <t>TRINKWASSER-
ERWÄRMUNG</t>
  </si>
  <si>
    <t>II. Systembeschreibung</t>
  </si>
  <si>
    <t>Deckungsanteil</t>
  </si>
  <si>
    <t>III. Ergebnisse</t>
  </si>
  <si>
    <t>Zusammenfassung</t>
  </si>
  <si>
    <r>
      <t>A</t>
    </r>
    <r>
      <rPr>
        <vertAlign val="subscript"/>
        <sz val="10"/>
        <color theme="1"/>
        <rFont val="Arial"/>
        <family val="2"/>
      </rPr>
      <t>N</t>
    </r>
    <r>
      <rPr>
        <sz val="10"/>
        <color theme="1"/>
        <rFont val="Arial"/>
        <family val="2"/>
      </rPr>
      <t xml:space="preserve"> [m²]</t>
    </r>
  </si>
  <si>
    <r>
      <t>t</t>
    </r>
    <r>
      <rPr>
        <vertAlign val="subscript"/>
        <sz val="10"/>
        <color theme="1"/>
        <rFont val="Arial"/>
        <family val="2"/>
      </rPr>
      <t>HP</t>
    </r>
    <r>
      <rPr>
        <sz val="10"/>
        <color theme="1"/>
        <rFont val="Arial"/>
        <family val="2"/>
      </rPr>
      <t xml:space="preserve"> [Tage]</t>
    </r>
  </si>
  <si>
    <t>Bezeichnung Gebäude oder Gebäudeteil</t>
  </si>
  <si>
    <t>Bedarf</t>
  </si>
  <si>
    <t>spezifisch [kWh/(m²a)]</t>
  </si>
  <si>
    <r>
      <t>Q</t>
    </r>
    <r>
      <rPr>
        <vertAlign val="subscript"/>
        <sz val="10"/>
        <color theme="1"/>
        <rFont val="Arial"/>
        <family val="2"/>
      </rPr>
      <t>h</t>
    </r>
    <r>
      <rPr>
        <sz val="10"/>
        <color theme="1"/>
        <rFont val="Arial"/>
        <family val="2"/>
      </rPr>
      <t xml:space="preserve"> =</t>
    </r>
  </si>
  <si>
    <r>
      <t>q</t>
    </r>
    <r>
      <rPr>
        <vertAlign val="subscript"/>
        <sz val="10"/>
        <color theme="1"/>
        <rFont val="Arial"/>
        <family val="2"/>
      </rPr>
      <t>h</t>
    </r>
    <r>
      <rPr>
        <sz val="10"/>
        <color theme="1"/>
        <rFont val="Arial"/>
        <family val="2"/>
      </rPr>
      <t xml:space="preserve"> =</t>
    </r>
  </si>
  <si>
    <r>
      <t>Q</t>
    </r>
    <r>
      <rPr>
        <vertAlign val="subscript"/>
        <sz val="10"/>
        <color theme="1"/>
        <rFont val="Arial"/>
        <family val="2"/>
      </rPr>
      <t>tw</t>
    </r>
    <r>
      <rPr>
        <sz val="10"/>
        <color theme="1"/>
        <rFont val="Arial"/>
        <family val="2"/>
      </rPr>
      <t xml:space="preserve"> =</t>
    </r>
  </si>
  <si>
    <r>
      <t>q</t>
    </r>
    <r>
      <rPr>
        <vertAlign val="subscript"/>
        <sz val="10"/>
        <color theme="1"/>
        <rFont val="Arial"/>
        <family val="2"/>
      </rPr>
      <t>tw</t>
    </r>
    <r>
      <rPr>
        <sz val="10"/>
        <color theme="1"/>
        <rFont val="Arial"/>
        <family val="2"/>
      </rPr>
      <t xml:space="preserve"> =</t>
    </r>
  </si>
  <si>
    <t>Erzeuger 1</t>
  </si>
  <si>
    <t>Erzeuger 2</t>
  </si>
  <si>
    <t>Erzeuger 3</t>
  </si>
  <si>
    <t>Erzeuger WÜT</t>
  </si>
  <si>
    <t>Erzeuger L/L-WP</t>
  </si>
  <si>
    <r>
      <t>q</t>
    </r>
    <r>
      <rPr>
        <vertAlign val="subscript"/>
        <sz val="10"/>
        <color theme="1"/>
        <rFont val="Arial"/>
        <family val="2"/>
      </rPr>
      <t>h,tw</t>
    </r>
    <r>
      <rPr>
        <sz val="10"/>
        <color theme="1"/>
        <rFont val="Arial"/>
        <family val="2"/>
      </rPr>
      <t xml:space="preserve"> =</t>
    </r>
  </si>
  <si>
    <t>Σ WÄRME</t>
  </si>
  <si>
    <t>Σ HILFSENERGIE</t>
  </si>
  <si>
    <t>Σ PRIMÄRENERGIE</t>
  </si>
  <si>
    <r>
      <t>q</t>
    </r>
    <r>
      <rPr>
        <vertAlign val="subscript"/>
        <sz val="10"/>
        <color theme="1"/>
        <rFont val="Arial"/>
        <family val="2"/>
      </rPr>
      <t>h,H</t>
    </r>
    <r>
      <rPr>
        <sz val="10"/>
        <color theme="1"/>
        <rFont val="Arial"/>
        <family val="2"/>
      </rPr>
      <t xml:space="preserve"> =</t>
    </r>
  </si>
  <si>
    <r>
      <t>q</t>
    </r>
    <r>
      <rPr>
        <vertAlign val="subscript"/>
        <sz val="10"/>
        <color theme="1"/>
        <rFont val="Arial"/>
        <family val="2"/>
      </rPr>
      <t>h,L</t>
    </r>
    <r>
      <rPr>
        <sz val="10"/>
        <color theme="1"/>
        <rFont val="Arial"/>
        <family val="2"/>
      </rPr>
      <t xml:space="preserve"> =</t>
    </r>
  </si>
  <si>
    <r>
      <t>Q</t>
    </r>
    <r>
      <rPr>
        <vertAlign val="subscript"/>
        <sz val="10"/>
        <color theme="1"/>
        <rFont val="Arial"/>
        <family val="2"/>
      </rPr>
      <t>TW,E</t>
    </r>
    <r>
      <rPr>
        <sz val="10"/>
        <color theme="1"/>
        <rFont val="Arial"/>
        <family val="2"/>
      </rPr>
      <t xml:space="preserve"> =</t>
    </r>
  </si>
  <si>
    <t>[kWh/a]</t>
  </si>
  <si>
    <r>
      <t>Q</t>
    </r>
    <r>
      <rPr>
        <vertAlign val="subscript"/>
        <sz val="10"/>
        <color theme="1"/>
        <rFont val="Arial"/>
        <family val="2"/>
      </rPr>
      <t>H,E</t>
    </r>
    <r>
      <rPr>
        <sz val="10"/>
        <color theme="1"/>
        <rFont val="Arial"/>
        <family val="2"/>
      </rPr>
      <t xml:space="preserve"> =</t>
    </r>
  </si>
  <si>
    <r>
      <t>Q</t>
    </r>
    <r>
      <rPr>
        <vertAlign val="subscript"/>
        <sz val="10"/>
        <color theme="1"/>
        <rFont val="Arial"/>
        <family val="2"/>
      </rPr>
      <t>L,E</t>
    </r>
    <r>
      <rPr>
        <sz val="10"/>
        <color theme="1"/>
        <rFont val="Arial"/>
        <family val="2"/>
      </rPr>
      <t xml:space="preserve"> =</t>
    </r>
  </si>
  <si>
    <r>
      <t>Deckung von Q</t>
    </r>
    <r>
      <rPr>
        <vertAlign val="subscript"/>
        <sz val="10"/>
        <color theme="1"/>
        <rFont val="Arial"/>
        <family val="2"/>
      </rPr>
      <t>h</t>
    </r>
    <r>
      <rPr>
        <sz val="10"/>
        <color theme="1"/>
        <rFont val="Arial"/>
        <family val="2"/>
      </rPr>
      <t xml:space="preserve"> </t>
    </r>
  </si>
  <si>
    <r>
      <t>Q</t>
    </r>
    <r>
      <rPr>
        <vertAlign val="subscript"/>
        <sz val="10"/>
        <color theme="1"/>
        <rFont val="Arial"/>
        <family val="2"/>
      </rPr>
      <t>E</t>
    </r>
    <r>
      <rPr>
        <sz val="10"/>
        <color theme="1"/>
        <rFont val="Arial"/>
        <family val="2"/>
      </rPr>
      <t xml:space="preserve"> =</t>
    </r>
  </si>
  <si>
    <t>Σ Primärenergie</t>
  </si>
  <si>
    <t>ANLAGEN-AUFWANDSZAHL</t>
  </si>
  <si>
    <r>
      <t>Q</t>
    </r>
    <r>
      <rPr>
        <vertAlign val="subscript"/>
        <sz val="10"/>
        <color theme="1"/>
        <rFont val="Arial"/>
        <family val="2"/>
      </rPr>
      <t>P</t>
    </r>
    <r>
      <rPr>
        <sz val="10"/>
        <color theme="1"/>
        <rFont val="Arial"/>
        <family val="2"/>
      </rPr>
      <t xml:space="preserve"> =</t>
    </r>
  </si>
  <si>
    <t>Erzeuger Heiz-register</t>
  </si>
  <si>
    <t>Anlagenbewertung nach DIN V 4701-10 - Tabellenverfahren nach Anhang C</t>
  </si>
  <si>
    <t>Σ Endenergie</t>
  </si>
  <si>
    <r>
      <t>n</t>
    </r>
    <r>
      <rPr>
        <vertAlign val="subscript"/>
        <sz val="10"/>
        <color theme="1"/>
        <rFont val="Arial"/>
        <family val="2"/>
      </rPr>
      <t>A</t>
    </r>
    <r>
      <rPr>
        <sz val="10"/>
        <color theme="1"/>
        <rFont val="Arial"/>
        <family val="2"/>
      </rPr>
      <t xml:space="preserve"> = </t>
    </r>
  </si>
  <si>
    <r>
      <t>f</t>
    </r>
    <r>
      <rPr>
        <vertAlign val="subscript"/>
        <sz val="10"/>
        <color theme="1"/>
        <rFont val="Arial"/>
        <family val="2"/>
      </rPr>
      <t>g</t>
    </r>
    <r>
      <rPr>
        <sz val="10"/>
        <color theme="1"/>
        <rFont val="Arial"/>
        <family val="2"/>
      </rPr>
      <t xml:space="preserve"> = </t>
    </r>
  </si>
  <si>
    <r>
      <t>q</t>
    </r>
    <r>
      <rPr>
        <vertAlign val="subscript"/>
        <sz val="10"/>
        <color theme="1"/>
        <rFont val="Arial"/>
        <family val="2"/>
      </rPr>
      <t>h,L</t>
    </r>
  </si>
  <si>
    <t>Lüftungsübertrag Heizung</t>
  </si>
  <si>
    <t>Übergabe (Tabelle C.2-1)</t>
  </si>
  <si>
    <t>Verteilung (Tabelle C.2-2)</t>
  </si>
  <si>
    <t>Kor.Luftwechsel (Tabelle C.2-4)</t>
  </si>
  <si>
    <r>
      <t>q</t>
    </r>
    <r>
      <rPr>
        <vertAlign val="subscript"/>
        <sz val="10"/>
        <color theme="1"/>
        <rFont val="Arial"/>
        <family val="2"/>
      </rPr>
      <t>tw</t>
    </r>
    <r>
      <rPr>
        <sz val="10"/>
        <color theme="1"/>
        <rFont val="Arial"/>
        <family val="2"/>
      </rPr>
      <t xml:space="preserve"> + q</t>
    </r>
    <r>
      <rPr>
        <vertAlign val="subscript"/>
        <sz val="10"/>
        <color theme="1"/>
        <rFont val="Arial"/>
        <family val="2"/>
      </rPr>
      <t>TW,ce</t>
    </r>
    <r>
      <rPr>
        <sz val="10"/>
        <color theme="1"/>
        <rFont val="Arial"/>
        <family val="2"/>
      </rPr>
      <t xml:space="preserve"> + q</t>
    </r>
    <r>
      <rPr>
        <vertAlign val="subscript"/>
        <sz val="10"/>
        <color theme="1"/>
        <rFont val="Arial"/>
        <family val="2"/>
      </rPr>
      <t>TW,d</t>
    </r>
    <r>
      <rPr>
        <sz val="10"/>
        <color theme="1"/>
        <rFont val="Arial"/>
        <family val="2"/>
      </rPr>
      <t xml:space="preserve"> + q</t>
    </r>
    <r>
      <rPr>
        <vertAlign val="subscript"/>
        <sz val="10"/>
        <color theme="1"/>
        <rFont val="Arial"/>
        <family val="2"/>
      </rPr>
      <t>TW,s</t>
    </r>
  </si>
  <si>
    <r>
      <t>e</t>
    </r>
    <r>
      <rPr>
        <b/>
        <vertAlign val="subscript"/>
        <sz val="10"/>
        <color theme="1"/>
        <rFont val="Arial"/>
        <family val="2"/>
      </rPr>
      <t>P</t>
    </r>
    <r>
      <rPr>
        <b/>
        <sz val="10"/>
        <color theme="1"/>
        <rFont val="Arial"/>
        <family val="2"/>
      </rPr>
      <t xml:space="preserve"> =</t>
    </r>
  </si>
  <si>
    <r>
      <t>Q</t>
    </r>
    <r>
      <rPr>
        <vertAlign val="subscript"/>
        <sz val="10"/>
        <color theme="1"/>
        <rFont val="Arial"/>
        <family val="2"/>
      </rPr>
      <t>TW,E</t>
    </r>
  </si>
  <si>
    <r>
      <t>Σq</t>
    </r>
    <r>
      <rPr>
        <vertAlign val="subscript"/>
        <sz val="10"/>
        <color theme="1"/>
        <rFont val="Arial"/>
        <family val="2"/>
      </rPr>
      <t>TW,E,i</t>
    </r>
    <r>
      <rPr>
        <sz val="10"/>
        <color theme="1"/>
        <rFont val="Arial"/>
        <family val="2"/>
      </rPr>
      <t xml:space="preserve"> * A</t>
    </r>
    <r>
      <rPr>
        <vertAlign val="subscript"/>
        <sz val="10"/>
        <color theme="1"/>
        <rFont val="Arial"/>
        <family val="2"/>
      </rPr>
      <t>N</t>
    </r>
  </si>
  <si>
    <r>
      <t>Σq</t>
    </r>
    <r>
      <rPr>
        <vertAlign val="subscript"/>
        <sz val="10"/>
        <color theme="1"/>
        <rFont val="Arial"/>
        <family val="2"/>
      </rPr>
      <t>TW,HE,E,i</t>
    </r>
    <r>
      <rPr>
        <sz val="10"/>
        <color theme="1"/>
        <rFont val="Arial"/>
        <family val="2"/>
      </rPr>
      <t xml:space="preserve"> * A</t>
    </r>
    <r>
      <rPr>
        <vertAlign val="subscript"/>
        <sz val="10"/>
        <color theme="1"/>
        <rFont val="Arial"/>
        <family val="2"/>
      </rPr>
      <t>N</t>
    </r>
  </si>
  <si>
    <t>Erzeuger  Heiz-register</t>
  </si>
  <si>
    <r>
      <t>Σq</t>
    </r>
    <r>
      <rPr>
        <vertAlign val="subscript"/>
        <sz val="10"/>
        <color theme="1"/>
        <rFont val="Arial"/>
        <family val="2"/>
      </rPr>
      <t>L,g,i</t>
    </r>
  </si>
  <si>
    <r>
      <t>Σq</t>
    </r>
    <r>
      <rPr>
        <vertAlign val="subscript"/>
        <sz val="10"/>
        <color theme="1"/>
        <rFont val="Arial"/>
        <family val="2"/>
      </rPr>
      <t>L,g,i</t>
    </r>
    <r>
      <rPr>
        <sz val="10"/>
        <color theme="1"/>
        <rFont val="Arial"/>
        <family val="2"/>
      </rPr>
      <t xml:space="preserve"> - q</t>
    </r>
    <r>
      <rPr>
        <vertAlign val="subscript"/>
        <sz val="10"/>
        <color theme="1"/>
        <rFont val="Arial"/>
        <family val="2"/>
      </rPr>
      <t>tL,ce</t>
    </r>
    <r>
      <rPr>
        <sz val="10"/>
        <color theme="1"/>
        <rFont val="Arial"/>
        <family val="2"/>
      </rPr>
      <t xml:space="preserve"> - q</t>
    </r>
    <r>
      <rPr>
        <vertAlign val="subscript"/>
        <sz val="10"/>
        <color theme="1"/>
        <rFont val="Arial"/>
        <family val="2"/>
      </rPr>
      <t>TWL,d</t>
    </r>
    <r>
      <rPr>
        <sz val="10"/>
        <color theme="1"/>
        <rFont val="Arial"/>
        <family val="2"/>
      </rPr>
      <t xml:space="preserve"> - q</t>
    </r>
    <r>
      <rPr>
        <vertAlign val="subscript"/>
        <sz val="10"/>
        <color theme="1"/>
        <rFont val="Arial"/>
        <family val="2"/>
      </rPr>
      <t>h,n</t>
    </r>
    <r>
      <rPr>
        <sz val="10"/>
        <color theme="1"/>
        <rFont val="Arial"/>
        <family val="2"/>
      </rPr>
      <t xml:space="preserve"> </t>
    </r>
  </si>
  <si>
    <r>
      <t>Σq</t>
    </r>
    <r>
      <rPr>
        <vertAlign val="subscript"/>
        <sz val="10"/>
        <color theme="1"/>
        <rFont val="Arial"/>
        <family val="2"/>
      </rPr>
      <t>L,g,HE,i</t>
    </r>
  </si>
  <si>
    <r>
      <t>Q</t>
    </r>
    <r>
      <rPr>
        <vertAlign val="subscript"/>
        <sz val="10"/>
        <color theme="1"/>
        <rFont val="Arial"/>
        <family val="2"/>
      </rPr>
      <t>L,E</t>
    </r>
  </si>
  <si>
    <r>
      <t>Σ q</t>
    </r>
    <r>
      <rPr>
        <vertAlign val="subscript"/>
        <sz val="10"/>
        <color theme="1"/>
        <rFont val="Arial"/>
        <family val="2"/>
      </rPr>
      <t>L,g,E</t>
    </r>
    <r>
      <rPr>
        <sz val="10"/>
        <color theme="1"/>
        <rFont val="Arial"/>
        <family val="2"/>
      </rPr>
      <t xml:space="preserve"> * A</t>
    </r>
    <r>
      <rPr>
        <vertAlign val="subscript"/>
        <sz val="10"/>
        <color theme="1"/>
        <rFont val="Arial"/>
        <family val="2"/>
      </rPr>
      <t>N</t>
    </r>
  </si>
  <si>
    <r>
      <t>Σ q</t>
    </r>
    <r>
      <rPr>
        <vertAlign val="subscript"/>
        <sz val="10"/>
        <color theme="1"/>
        <rFont val="Arial"/>
        <family val="2"/>
      </rPr>
      <t>L,HE,E</t>
    </r>
    <r>
      <rPr>
        <sz val="10"/>
        <color theme="1"/>
        <rFont val="Arial"/>
        <family val="2"/>
      </rPr>
      <t xml:space="preserve"> * A</t>
    </r>
    <r>
      <rPr>
        <vertAlign val="subscript"/>
        <sz val="10"/>
        <color theme="1"/>
        <rFont val="Arial"/>
        <family val="2"/>
      </rPr>
      <t>N</t>
    </r>
  </si>
  <si>
    <r>
      <t>Q</t>
    </r>
    <r>
      <rPr>
        <vertAlign val="subscript"/>
        <sz val="10"/>
        <color theme="1"/>
        <rFont val="Arial"/>
        <family val="2"/>
      </rPr>
      <t>h</t>
    </r>
  </si>
  <si>
    <t>nach Kap. 4.1</t>
  </si>
  <si>
    <r>
      <t>q</t>
    </r>
    <r>
      <rPr>
        <vertAlign val="subscript"/>
        <sz val="10"/>
        <color theme="1"/>
        <rFont val="Arial"/>
        <family val="2"/>
      </rPr>
      <t>h</t>
    </r>
  </si>
  <si>
    <t>aus Tabellenblatt Trinkwarmwasser</t>
  </si>
  <si>
    <r>
      <t>q</t>
    </r>
    <r>
      <rPr>
        <vertAlign val="subscript"/>
        <sz val="10"/>
        <color theme="1"/>
        <rFont val="Arial"/>
        <family val="2"/>
      </rPr>
      <t>h,l</t>
    </r>
  </si>
  <si>
    <t>aus Tabellenblatt Lüftung</t>
  </si>
  <si>
    <t>Tabelle C.3-1</t>
  </si>
  <si>
    <t>Tabellen C.3-2a, b oder d</t>
  </si>
  <si>
    <t>Tabelle C.3-3</t>
  </si>
  <si>
    <t>Tabelle C.3-4a</t>
  </si>
  <si>
    <t>Tabelle C.3-4b,c,d,e oder f</t>
  </si>
  <si>
    <r>
      <t>q</t>
    </r>
    <r>
      <rPr>
        <vertAlign val="subscript"/>
        <sz val="10"/>
        <color theme="1"/>
        <rFont val="Arial"/>
        <family val="2"/>
      </rPr>
      <t>ce,HE</t>
    </r>
  </si>
  <si>
    <r>
      <t>q</t>
    </r>
    <r>
      <rPr>
        <vertAlign val="subscript"/>
        <sz val="10"/>
        <color theme="1"/>
        <rFont val="Arial"/>
        <family val="2"/>
      </rPr>
      <t>d,HE</t>
    </r>
  </si>
  <si>
    <r>
      <t>q</t>
    </r>
    <r>
      <rPr>
        <vertAlign val="subscript"/>
        <sz val="10"/>
        <color theme="1"/>
        <rFont val="Arial"/>
        <family val="2"/>
      </rPr>
      <t>s,HE</t>
    </r>
  </si>
  <si>
    <r>
      <t>q</t>
    </r>
    <r>
      <rPr>
        <vertAlign val="subscript"/>
        <sz val="10"/>
        <color theme="1"/>
        <rFont val="Arial"/>
        <family val="2"/>
      </rPr>
      <t>ce</t>
    </r>
  </si>
  <si>
    <r>
      <t>q</t>
    </r>
    <r>
      <rPr>
        <vertAlign val="subscript"/>
        <sz val="10"/>
        <color theme="1"/>
        <rFont val="Arial"/>
        <family val="2"/>
      </rPr>
      <t>d</t>
    </r>
  </si>
  <si>
    <r>
      <t>q</t>
    </r>
    <r>
      <rPr>
        <vertAlign val="subscript"/>
        <sz val="10"/>
        <color theme="1"/>
        <rFont val="Arial"/>
        <family val="2"/>
      </rPr>
      <t>s</t>
    </r>
  </si>
  <si>
    <r>
      <t>q</t>
    </r>
    <r>
      <rPr>
        <vertAlign val="subscript"/>
        <sz val="10"/>
        <color theme="1"/>
        <rFont val="Arial"/>
        <family val="2"/>
      </rPr>
      <t>h</t>
    </r>
    <r>
      <rPr>
        <sz val="10"/>
        <color theme="1"/>
        <rFont val="Arial"/>
        <family val="2"/>
      </rPr>
      <t xml:space="preserve"> - q</t>
    </r>
    <r>
      <rPr>
        <vertAlign val="subscript"/>
        <sz val="10"/>
        <color theme="1"/>
        <rFont val="Arial"/>
        <family val="2"/>
      </rPr>
      <t>h,TW</t>
    </r>
    <r>
      <rPr>
        <sz val="10"/>
        <color theme="1"/>
        <rFont val="Arial"/>
        <family val="2"/>
      </rPr>
      <t xml:space="preserve"> - q</t>
    </r>
    <r>
      <rPr>
        <vertAlign val="subscript"/>
        <sz val="10"/>
        <color theme="1"/>
        <rFont val="Arial"/>
        <family val="2"/>
      </rPr>
      <t>h,L</t>
    </r>
    <r>
      <rPr>
        <sz val="10"/>
        <color theme="1"/>
        <rFont val="Arial"/>
        <family val="2"/>
      </rPr>
      <t xml:space="preserve"> + q</t>
    </r>
    <r>
      <rPr>
        <vertAlign val="subscript"/>
        <sz val="10"/>
        <color theme="1"/>
        <rFont val="Arial"/>
        <family val="2"/>
      </rPr>
      <t>ce</t>
    </r>
    <r>
      <rPr>
        <sz val="10"/>
        <color theme="1"/>
        <rFont val="Arial"/>
        <family val="2"/>
      </rPr>
      <t xml:space="preserve"> + q</t>
    </r>
    <r>
      <rPr>
        <vertAlign val="subscript"/>
        <sz val="10"/>
        <color theme="1"/>
        <rFont val="Arial"/>
        <family val="2"/>
      </rPr>
      <t>d</t>
    </r>
    <r>
      <rPr>
        <sz val="10"/>
        <color theme="1"/>
        <rFont val="Arial"/>
        <family val="2"/>
      </rPr>
      <t xml:space="preserve"> + q</t>
    </r>
    <r>
      <rPr>
        <vertAlign val="subscript"/>
        <sz val="10"/>
        <color theme="1"/>
        <rFont val="Arial"/>
        <family val="2"/>
      </rPr>
      <t>s</t>
    </r>
  </si>
  <si>
    <r>
      <t>α</t>
    </r>
    <r>
      <rPr>
        <vertAlign val="subscript"/>
        <sz val="10"/>
        <color theme="1"/>
        <rFont val="Arial"/>
        <family val="2"/>
      </rPr>
      <t>g,i</t>
    </r>
  </si>
  <si>
    <r>
      <t>e</t>
    </r>
    <r>
      <rPr>
        <vertAlign val="subscript"/>
        <sz val="10"/>
        <color theme="1"/>
        <rFont val="Arial"/>
        <family val="2"/>
      </rPr>
      <t>g,i</t>
    </r>
  </si>
  <si>
    <r>
      <t>q</t>
    </r>
    <r>
      <rPr>
        <vertAlign val="subscript"/>
        <sz val="10"/>
        <color theme="1"/>
        <rFont val="Arial"/>
        <family val="2"/>
      </rPr>
      <t>E,i</t>
    </r>
  </si>
  <si>
    <r>
      <t>q</t>
    </r>
    <r>
      <rPr>
        <vertAlign val="subscript"/>
        <sz val="10"/>
        <color theme="1"/>
        <rFont val="Arial"/>
        <family val="2"/>
      </rPr>
      <t>P,i</t>
    </r>
  </si>
  <si>
    <r>
      <t>q</t>
    </r>
    <r>
      <rPr>
        <vertAlign val="subscript"/>
        <sz val="10"/>
        <color theme="1"/>
        <rFont val="Arial"/>
        <family val="2"/>
      </rPr>
      <t>E,i</t>
    </r>
    <r>
      <rPr>
        <sz val="10"/>
        <color theme="1"/>
        <rFont val="Arial"/>
        <family val="2"/>
      </rPr>
      <t xml:space="preserve"> * f</t>
    </r>
    <r>
      <rPr>
        <vertAlign val="subscript"/>
        <sz val="10"/>
        <color theme="1"/>
        <rFont val="Arial"/>
        <family val="2"/>
      </rPr>
      <t>P,i</t>
    </r>
  </si>
  <si>
    <r>
      <t>Σ(q</t>
    </r>
    <r>
      <rPr>
        <vertAlign val="subscript"/>
        <sz val="10"/>
        <color theme="1"/>
        <rFont val="Arial"/>
        <family val="2"/>
      </rPr>
      <t>h</t>
    </r>
    <r>
      <rPr>
        <sz val="10"/>
        <color theme="1"/>
        <rFont val="Arial"/>
        <family val="2"/>
      </rPr>
      <t xml:space="preserve"> * α</t>
    </r>
    <r>
      <rPr>
        <vertAlign val="subscript"/>
        <sz val="10"/>
        <color theme="1"/>
        <rFont val="Arial"/>
        <family val="2"/>
      </rPr>
      <t>g,i</t>
    </r>
    <r>
      <rPr>
        <sz val="10"/>
        <color theme="1"/>
        <rFont val="Arial"/>
        <family val="2"/>
      </rPr>
      <t xml:space="preserve"> * e</t>
    </r>
    <r>
      <rPr>
        <vertAlign val="subscript"/>
        <sz val="10"/>
        <color theme="1"/>
        <rFont val="Arial"/>
        <family val="2"/>
      </rPr>
      <t>g,i</t>
    </r>
    <r>
      <rPr>
        <sz val="10"/>
        <color theme="1"/>
        <rFont val="Arial"/>
        <family val="2"/>
      </rPr>
      <t>)</t>
    </r>
  </si>
  <si>
    <r>
      <t>q</t>
    </r>
    <r>
      <rPr>
        <vertAlign val="subscript"/>
        <sz val="10"/>
        <color theme="1"/>
        <rFont val="Arial"/>
        <family val="2"/>
      </rPr>
      <t>g,HE,i</t>
    </r>
  </si>
  <si>
    <r>
      <t>q</t>
    </r>
    <r>
      <rPr>
        <vertAlign val="subscript"/>
        <sz val="10"/>
        <color theme="1"/>
        <rFont val="Arial"/>
        <family val="2"/>
      </rPr>
      <t>HE,E,i</t>
    </r>
  </si>
  <si>
    <t>Tabelle C.3-2c bzw. C.3-2d</t>
  </si>
  <si>
    <t>Tabelle C.3-4b,c,d,e oder g</t>
  </si>
  <si>
    <r>
      <t>α</t>
    </r>
    <r>
      <rPr>
        <vertAlign val="subscript"/>
        <sz val="10"/>
        <color theme="1"/>
        <rFont val="Arial"/>
        <family val="2"/>
      </rPr>
      <t>g,i</t>
    </r>
    <r>
      <rPr>
        <sz val="10"/>
        <color theme="1"/>
        <rFont val="Arial"/>
        <family val="2"/>
      </rPr>
      <t xml:space="preserve"> * q</t>
    </r>
    <r>
      <rPr>
        <vertAlign val="subscript"/>
        <sz val="10"/>
        <color theme="1"/>
        <rFont val="Arial"/>
        <family val="2"/>
      </rPr>
      <t>g,HE,i</t>
    </r>
  </si>
  <si>
    <r>
      <t>q</t>
    </r>
    <r>
      <rPr>
        <vertAlign val="subscript"/>
        <sz val="10"/>
        <color theme="1"/>
        <rFont val="Arial"/>
        <family val="2"/>
      </rPr>
      <t>HE,E</t>
    </r>
  </si>
  <si>
    <r>
      <t>q</t>
    </r>
    <r>
      <rPr>
        <vertAlign val="subscript"/>
        <sz val="10"/>
        <color theme="1"/>
        <rFont val="Arial"/>
        <family val="2"/>
      </rPr>
      <t>HE,P</t>
    </r>
  </si>
  <si>
    <r>
      <t>q</t>
    </r>
    <r>
      <rPr>
        <vertAlign val="subscript"/>
        <sz val="10"/>
        <color theme="1"/>
        <rFont val="Arial"/>
        <family val="2"/>
      </rPr>
      <t>HE,E</t>
    </r>
    <r>
      <rPr>
        <sz val="10"/>
        <color theme="1"/>
        <rFont val="Arial"/>
        <family val="2"/>
      </rPr>
      <t xml:space="preserve"> * f</t>
    </r>
    <r>
      <rPr>
        <vertAlign val="subscript"/>
        <sz val="10"/>
        <color theme="1"/>
        <rFont val="Arial"/>
        <family val="2"/>
      </rPr>
      <t>P</t>
    </r>
  </si>
  <si>
    <r>
      <t>Σ(q</t>
    </r>
    <r>
      <rPr>
        <vertAlign val="subscript"/>
        <sz val="10"/>
        <color theme="1"/>
        <rFont val="Arial"/>
        <family val="2"/>
      </rPr>
      <t>ce,HE,i</t>
    </r>
    <r>
      <rPr>
        <sz val="10"/>
        <color theme="1"/>
        <rFont val="Arial"/>
        <family val="2"/>
      </rPr>
      <t xml:space="preserve"> + q</t>
    </r>
    <r>
      <rPr>
        <vertAlign val="subscript"/>
        <sz val="10"/>
        <color theme="1"/>
        <rFont val="Arial"/>
        <family val="2"/>
      </rPr>
      <t>d,HE,i</t>
    </r>
    <r>
      <rPr>
        <sz val="10"/>
        <color theme="1"/>
        <rFont val="Arial"/>
        <family val="2"/>
      </rPr>
      <t xml:space="preserve"> + q</t>
    </r>
    <r>
      <rPr>
        <vertAlign val="subscript"/>
        <sz val="10"/>
        <color theme="1"/>
        <rFont val="Arial"/>
        <family val="2"/>
      </rPr>
      <t>s,HE,i</t>
    </r>
    <r>
      <rPr>
        <sz val="10"/>
        <color theme="1"/>
        <rFont val="Arial"/>
        <family val="2"/>
      </rPr>
      <t xml:space="preserve"> + q</t>
    </r>
    <r>
      <rPr>
        <vertAlign val="subscript"/>
        <sz val="10"/>
        <color theme="1"/>
        <rFont val="Arial"/>
        <family val="2"/>
      </rPr>
      <t>g,HE,i</t>
    </r>
    <r>
      <rPr>
        <sz val="10"/>
        <color theme="1"/>
        <rFont val="Arial"/>
        <family val="2"/>
      </rPr>
      <t>)</t>
    </r>
  </si>
  <si>
    <r>
      <t>Σ(q</t>
    </r>
    <r>
      <rPr>
        <vertAlign val="subscript"/>
        <sz val="10"/>
        <color theme="1"/>
        <rFont val="Arial"/>
        <family val="2"/>
      </rPr>
      <t>TW,ce,HE,i</t>
    </r>
    <r>
      <rPr>
        <sz val="10"/>
        <color theme="1"/>
        <rFont val="Arial"/>
        <family val="2"/>
      </rPr>
      <t xml:space="preserve"> + q</t>
    </r>
    <r>
      <rPr>
        <vertAlign val="subscript"/>
        <sz val="10"/>
        <color theme="1"/>
        <rFont val="Arial"/>
        <family val="2"/>
      </rPr>
      <t>TW,d,HE,i</t>
    </r>
    <r>
      <rPr>
        <sz val="10"/>
        <color theme="1"/>
        <rFont val="Arial"/>
        <family val="2"/>
      </rPr>
      <t xml:space="preserve"> 
    + q</t>
    </r>
    <r>
      <rPr>
        <vertAlign val="subscript"/>
        <sz val="10"/>
        <color theme="1"/>
        <rFont val="Arial"/>
        <family val="2"/>
      </rPr>
      <t>TW,s,HE,i</t>
    </r>
    <r>
      <rPr>
        <sz val="10"/>
        <color theme="1"/>
        <rFont val="Arial"/>
        <family val="2"/>
      </rPr>
      <t xml:space="preserve"> + q</t>
    </r>
    <r>
      <rPr>
        <vertAlign val="subscript"/>
        <sz val="10"/>
        <color theme="1"/>
        <rFont val="Arial"/>
        <family val="2"/>
      </rPr>
      <t>TW,g,HE,i</t>
    </r>
    <r>
      <rPr>
        <sz val="10"/>
        <color theme="1"/>
        <rFont val="Arial"/>
        <family val="2"/>
      </rPr>
      <t>)</t>
    </r>
  </si>
  <si>
    <r>
      <t>Q</t>
    </r>
    <r>
      <rPr>
        <vertAlign val="subscript"/>
        <sz val="10"/>
        <color theme="1"/>
        <rFont val="Arial"/>
        <family val="2"/>
      </rPr>
      <t>H,E</t>
    </r>
  </si>
  <si>
    <r>
      <t>Q</t>
    </r>
    <r>
      <rPr>
        <b/>
        <vertAlign val="subscript"/>
        <sz val="10"/>
        <color theme="1"/>
        <rFont val="Arial"/>
        <family val="2"/>
      </rPr>
      <t>H,P</t>
    </r>
  </si>
  <si>
    <r>
      <t>Σq</t>
    </r>
    <r>
      <rPr>
        <vertAlign val="subscript"/>
        <sz val="10"/>
        <color theme="1"/>
        <rFont val="Arial"/>
        <family val="2"/>
      </rPr>
      <t>E,i</t>
    </r>
    <r>
      <rPr>
        <sz val="10"/>
        <color theme="1"/>
        <rFont val="Arial"/>
        <family val="2"/>
      </rPr>
      <t xml:space="preserve"> * A</t>
    </r>
    <r>
      <rPr>
        <vertAlign val="subscript"/>
        <sz val="10"/>
        <color theme="1"/>
        <rFont val="Arial"/>
        <family val="2"/>
      </rPr>
      <t>N</t>
    </r>
  </si>
  <si>
    <r>
      <t>Σq</t>
    </r>
    <r>
      <rPr>
        <vertAlign val="subscript"/>
        <sz val="10"/>
        <color theme="1"/>
        <rFont val="Arial"/>
        <family val="2"/>
      </rPr>
      <t>HE,E,i</t>
    </r>
    <r>
      <rPr>
        <sz val="10"/>
        <color theme="1"/>
        <rFont val="Arial"/>
        <family val="2"/>
      </rPr>
      <t xml:space="preserve"> * A</t>
    </r>
    <r>
      <rPr>
        <vertAlign val="subscript"/>
        <sz val="10"/>
        <color theme="1"/>
        <rFont val="Arial"/>
        <family val="2"/>
      </rPr>
      <t>N</t>
    </r>
  </si>
  <si>
    <r>
      <t>(Σq</t>
    </r>
    <r>
      <rPr>
        <b/>
        <vertAlign val="subscript"/>
        <sz val="10"/>
        <color theme="1"/>
        <rFont val="Arial"/>
        <family val="2"/>
      </rPr>
      <t>P,i</t>
    </r>
    <r>
      <rPr>
        <b/>
        <sz val="10"/>
        <color theme="1"/>
        <rFont val="Arial"/>
        <family val="2"/>
      </rPr>
      <t xml:space="preserve"> + q</t>
    </r>
    <r>
      <rPr>
        <b/>
        <vertAlign val="subscript"/>
        <sz val="10"/>
        <color theme="1"/>
        <rFont val="Arial"/>
        <family val="2"/>
      </rPr>
      <t>HE,P</t>
    </r>
    <r>
      <rPr>
        <b/>
        <sz val="10"/>
        <color theme="1"/>
        <rFont val="Arial"/>
        <family val="2"/>
      </rPr>
      <t>) * A</t>
    </r>
    <r>
      <rPr>
        <b/>
        <vertAlign val="subscript"/>
        <sz val="10"/>
        <color theme="1"/>
        <rFont val="Arial"/>
        <family val="2"/>
      </rPr>
      <t>N</t>
    </r>
  </si>
  <si>
    <t>nein</t>
  </si>
  <si>
    <r>
      <t>Monatswerte - Jahres-Heizwärmebedarf Q</t>
    </r>
    <r>
      <rPr>
        <b/>
        <vertAlign val="subscript"/>
        <sz val="10"/>
        <color theme="3"/>
        <rFont val="Arial"/>
        <family val="2"/>
      </rPr>
      <t xml:space="preserve">h </t>
    </r>
    <r>
      <rPr>
        <b/>
        <sz val="10"/>
        <color theme="3"/>
        <rFont val="Arial"/>
        <family val="2"/>
      </rPr>
      <t>[kWh/mth]</t>
    </r>
  </si>
  <si>
    <r>
      <t>Monatswerte - Interne Wärmegewinne Q</t>
    </r>
    <r>
      <rPr>
        <b/>
        <vertAlign val="subscript"/>
        <sz val="10"/>
        <color theme="3"/>
        <rFont val="Arial"/>
        <family val="2"/>
      </rPr>
      <t xml:space="preserve">i </t>
    </r>
    <r>
      <rPr>
        <b/>
        <sz val="10"/>
        <color theme="3"/>
        <rFont val="Arial"/>
        <family val="2"/>
      </rPr>
      <t>[kWh/mth]</t>
    </r>
  </si>
  <si>
    <r>
      <t>Monatswerte - Transmissionswärmeverlust Q</t>
    </r>
    <r>
      <rPr>
        <b/>
        <vertAlign val="subscript"/>
        <sz val="10"/>
        <color theme="3"/>
        <rFont val="Arial"/>
        <family val="2"/>
      </rPr>
      <t xml:space="preserve">T </t>
    </r>
    <r>
      <rPr>
        <b/>
        <sz val="10"/>
        <color theme="3"/>
        <rFont val="Arial"/>
        <family val="2"/>
      </rPr>
      <t>[kWh/mth]</t>
    </r>
  </si>
  <si>
    <t>a</t>
  </si>
  <si>
    <t>b</t>
  </si>
  <si>
    <t>c</t>
  </si>
  <si>
    <t>Nr.</t>
  </si>
  <si>
    <t>[Bezeichnung/Auswahl]</t>
  </si>
  <si>
    <t>[mm]</t>
  </si>
  <si>
    <t>[W/(m K)]</t>
  </si>
  <si>
    <t>[m²K/W]</t>
  </si>
  <si>
    <t>innen</t>
  </si>
  <si>
    <t>ja</t>
  </si>
  <si>
    <t>außen</t>
  </si>
  <si>
    <t>Wärmedurchgangskoeffizient</t>
  </si>
  <si>
    <t>U</t>
  </si>
  <si>
    <t>[W/(m²K)]</t>
  </si>
  <si>
    <r>
      <t>Σq</t>
    </r>
    <r>
      <rPr>
        <vertAlign val="subscript"/>
        <sz val="10"/>
        <color theme="1"/>
        <rFont val="Arial"/>
        <family val="2"/>
      </rPr>
      <t>L,g,HE,i</t>
    </r>
    <r>
      <rPr>
        <sz val="10"/>
        <color theme="1"/>
        <rFont val="Arial"/>
        <family val="2"/>
      </rPr>
      <t xml:space="preserve"> + q</t>
    </r>
    <r>
      <rPr>
        <vertAlign val="subscript"/>
        <sz val="10"/>
        <color theme="1"/>
        <rFont val="Arial"/>
        <family val="2"/>
      </rPr>
      <t>L,ce,HE</t>
    </r>
    <r>
      <rPr>
        <sz val="10"/>
        <color theme="1"/>
        <rFont val="Arial"/>
        <family val="2"/>
      </rPr>
      <t xml:space="preserve"> + q</t>
    </r>
    <r>
      <rPr>
        <vertAlign val="subscript"/>
        <sz val="10"/>
        <color theme="1"/>
        <rFont val="Arial"/>
        <family val="2"/>
      </rPr>
      <t>L,d,HE</t>
    </r>
  </si>
  <si>
    <t>Lüftungsübertrag</t>
  </si>
  <si>
    <t>Stoffart</t>
  </si>
  <si>
    <t>Name</t>
  </si>
  <si>
    <t>Stoff</t>
  </si>
  <si>
    <t>Quelle</t>
  </si>
  <si>
    <t>eigene</t>
  </si>
  <si>
    <t>Stoffgruppe</t>
  </si>
  <si>
    <t>Auswahl</t>
  </si>
  <si>
    <t/>
  </si>
  <si>
    <t xml:space="preserve">1.3.1  Gussasphaltestrich </t>
  </si>
  <si>
    <t xml:space="preserve">1.3.2  Zement-Estrich </t>
  </si>
  <si>
    <t xml:space="preserve">Siehe DIN EN ISO 10456 </t>
  </si>
  <si>
    <t>5  Wärmedämmstoffe</t>
  </si>
  <si>
    <t xml:space="preserve">7.1  Fußbodenbeläge </t>
  </si>
  <si>
    <t xml:space="preserve">7.2  Abdichtstoffe </t>
  </si>
  <si>
    <t xml:space="preserve">7.2.1  Asphaltmastix, Dicke d ≥ 7 mm </t>
  </si>
  <si>
    <t xml:space="preserve">7.3.1  Bitumenbahnen nach DIN EN 13707 </t>
  </si>
  <si>
    <t xml:space="preserve">7.3.2  Nackte Bitumenbahnen nach DIN 52129 </t>
  </si>
  <si>
    <t xml:space="preserve">- </t>
  </si>
  <si>
    <t xml:space="preserve">7.4.1  PTFE-Folien, Dicke d ≥ 0,05 mm </t>
  </si>
  <si>
    <t xml:space="preserve">7.4.2  PA-Folie, Dicke d ≥ 0,05 mm </t>
  </si>
  <si>
    <t xml:space="preserve">7.4.3  PP-Folie, Dicke d ≥ 0,05 mm </t>
  </si>
  <si>
    <t xml:space="preserve">8.6  Böden, naturfeucht </t>
  </si>
  <si>
    <t xml:space="preserve">8.7  Keramik und Glasmosaik </t>
  </si>
  <si>
    <t xml:space="preserve">8.8  Metalle </t>
  </si>
  <si>
    <t>Fehler?</t>
  </si>
  <si>
    <r>
      <t>Monatswerte - Lüftungswärmeverlust Q</t>
    </r>
    <r>
      <rPr>
        <b/>
        <vertAlign val="subscript"/>
        <sz val="10"/>
        <color theme="3"/>
        <rFont val="Arial"/>
        <family val="2"/>
      </rPr>
      <t xml:space="preserve">L </t>
    </r>
    <r>
      <rPr>
        <b/>
        <sz val="10"/>
        <color theme="3"/>
        <rFont val="Arial"/>
        <family val="2"/>
      </rPr>
      <t>[kWh/mth]</t>
    </r>
  </si>
  <si>
    <t>Gebaeudeadresse-Strasse-Nr</t>
  </si>
  <si>
    <t>Gebaeudeadresse-Postleitzahl</t>
  </si>
  <si>
    <t>Gebaeudeadresse-Ort</t>
  </si>
  <si>
    <t>Ausstellervorname</t>
  </si>
  <si>
    <t>Ausstellername</t>
  </si>
  <si>
    <t>Aussteller-Bezeichnung</t>
  </si>
  <si>
    <t>Aussteller-Strasse-Nr</t>
  </si>
  <si>
    <t>Aussteller-PLZ</t>
  </si>
  <si>
    <t>Aussteller-Ort</t>
  </si>
  <si>
    <t>Zusatzinfos-beigefuegt</t>
  </si>
  <si>
    <t>Angaben-erhaeltlich</t>
  </si>
  <si>
    <t>Gebäudeadresse Postleitzahl</t>
  </si>
  <si>
    <t>Gebäudeadresse Ort</t>
  </si>
  <si>
    <t>Aussteller Bezeichnung</t>
  </si>
  <si>
    <t>Aussteller PLZ</t>
  </si>
  <si>
    <t>Aussteller Ort</t>
  </si>
  <si>
    <t>Zusatzinfos beigefügt</t>
  </si>
  <si>
    <t>Angaben erhältlich</t>
  </si>
  <si>
    <t>Ausstellungsdatum</t>
  </si>
  <si>
    <t>Bundesland</t>
  </si>
  <si>
    <t>Postleitzahl</t>
  </si>
  <si>
    <t>Gebaeudeteil</t>
  </si>
  <si>
    <t>Baujahr-Gebaeude</t>
  </si>
  <si>
    <t>Altersklasse-Gebaeude</t>
  </si>
  <si>
    <t>Baujahr-Waermeerzeuger</t>
  </si>
  <si>
    <t>Altersklasse-Waermeerzeuger</t>
  </si>
  <si>
    <t>Erneuerbare-Art</t>
  </si>
  <si>
    <t>Erneuerbare-Verwendung</t>
  </si>
  <si>
    <t>Lueftungsart-Fensterlueftung</t>
  </si>
  <si>
    <t>Lueftungsart-Schachtlueftung</t>
  </si>
  <si>
    <t>Lueftungsart-Anlage-o-WRG</t>
  </si>
  <si>
    <t>Lueftungsart-Anlage-m-WRG</t>
  </si>
  <si>
    <t>Ausstellungsanlass</t>
  </si>
  <si>
    <t>Datenerhebung-Aussteller</t>
  </si>
  <si>
    <t>Datenerhebung-Eigentuemer</t>
  </si>
  <si>
    <t>Straße und Hausnummer der Gebäudeadresse zur Angabe im Energieausweis.</t>
  </si>
  <si>
    <t>()|(\d{5})</t>
  </si>
  <si>
    <t>Ortsangabe der Gebäudeadresse zur Angabe im Energieausweis.</t>
  </si>
  <si>
    <t>Vorname des Energieausweis-Ausstellers wie bei der Ausstelleranmeldung hinterlegt.</t>
  </si>
  <si>
    <t>.{0,40}</t>
  </si>
  <si>
    <t>Familienname des Energieausweis-Ausstellers wie bei der Ausstelleranmeldung hinterlegt.</t>
  </si>
  <si>
    <t>Firmierung und/oder Berufsbezeichnung des Energieausweis-Ausstellers.</t>
  </si>
  <si>
    <t>Straße und Hausnummer des Energieausweis-Ausstellers.</t>
  </si>
  <si>
    <t>Postleitzahl des Energieausweis-Ausstellers (ggfs. bei Ausstellern aus dem Ausland mit Landeszennzeichnung usw.).</t>
  </si>
  <si>
    <t>Ort des Energieausweis-Ausstellers.</t>
  </si>
  <si>
    <t>Kreuzchen, ob dem Energieausweis (freiwillige) zusätzliche Informationen zur energetischen Qualität beigefügt sind.</t>
  </si>
  <si>
    <t>http://www.bbsr-energieeinsparung.de</t>
  </si>
  <si>
    <t>.{5,200}</t>
  </si>
  <si>
    <t>Bundesland, in dem das Gebäude des Energieausweises steht.</t>
  </si>
  <si>
    <t>Postleitzahl des Gebäudestandortes, aus Datenschutzgründen eingekürzt.</t>
  </si>
  <si>
    <t>\d{3}XX</t>
  </si>
  <si>
    <t>Gebäudeteil</t>
  </si>
  <si>
    <t>Altersklasse Gebäude</t>
  </si>
  <si>
    <t>Baujahr Wärmeerzeuger</t>
  </si>
  <si>
    <t>Altersklasse Wärmeerzeuger</t>
  </si>
  <si>
    <t>Erneuerbare Art</t>
  </si>
  <si>
    <t>Erneuerbare Verwendung</t>
  </si>
  <si>
    <t>Datenerhebung Aussteller</t>
  </si>
  <si>
    <t>Lüftungsart Fensterlüftung</t>
  </si>
  <si>
    <t>Lüftungsart Anlage mit WRG</t>
  </si>
  <si>
    <t>Datenerhebung Eigentümer</t>
  </si>
  <si>
    <t>Baujahr des Gebäudes und ggfs. Hinweise auf nachträgliche Umbauten, Erweiterungen, Modernisierungen usw.</t>
  </si>
  <si>
    <t>Altersklasse der ursprünglichen Errichtung des Gebäudes.</t>
  </si>
  <si>
    <t>Baujahr des/der Wärmeerzeuger(s) und ggfs. Hinweise auf nachträgliche bauliche Veränderung des/der Wärmeerzeuger(s).</t>
  </si>
  <si>
    <t>Altersklasse der ältesten der energetisch wesentlichsten Komponenten der Wärmeerzeugung.</t>
  </si>
  <si>
    <t>Art(en) der erneuerbaren Energie(n), die eingesetzt wird/werden; wenn nicht gegeben bitte "keine" eintragen.</t>
  </si>
  <si>
    <t>Verwendung der erneuerbaren Energie(n), die eingesetzt wird/werden; wenn nicht gegeben bitte "keine" eintragen.</t>
  </si>
  <si>
    <t>Art der Lüftung des Gebäudes: Fensterlüftung.</t>
  </si>
  <si>
    <t>Art der Lüftung des Gebäudes: Schachtlüftung.</t>
  </si>
  <si>
    <t>Art der Lüftung des Gebäudes: Lüftungsanlage ohne Wärmerückgewinnung.</t>
  </si>
  <si>
    <t>Art der Lüftung des Gebäudes: Lüftungsanlage mit Wärmerückgewinnung.</t>
  </si>
  <si>
    <t>Die Datenerhebung erfolgte teilweise oder ganz durch den Aussteller.</t>
  </si>
  <si>
    <t>Die Datenerhebung erfolgte teilweise oder ganz durch den Eigentümer.</t>
  </si>
  <si>
    <t>Hessen</t>
  </si>
  <si>
    <t>Ganzes Gebäude</t>
  </si>
  <si>
    <t>keine</t>
  </si>
  <si>
    <t>Heizung, Warmwasser</t>
  </si>
  <si>
    <t>Modernisierung-Erweiterung</t>
  </si>
  <si>
    <t>Gebäudeadresse Straße und Nr</t>
  </si>
  <si>
    <t>Aussteller Straße und Nr</t>
  </si>
  <si>
    <t>Lüftungsart Schachtlüftung</t>
  </si>
  <si>
    <t>Wohngebaeude</t>
  </si>
  <si>
    <t>Gebaeudetyp</t>
  </si>
  <si>
    <t>Anzahl-Wohneinheiten</t>
  </si>
  <si>
    <t>Gebaeudenutzflaeche</t>
  </si>
  <si>
    <t>1</t>
  </si>
  <si>
    <t>Gebäudetyp</t>
  </si>
  <si>
    <t>Bedarfsdaten-4108-4701</t>
  </si>
  <si>
    <t>Wohngebaeude-Anbaugrad</t>
  </si>
  <si>
    <t>freistehend</t>
  </si>
  <si>
    <t>durchschnittliche-Geschosshoehe</t>
  </si>
  <si>
    <t>Waermebrueckenzuschlag</t>
  </si>
  <si>
    <t>Transmissionswaermeverlust</t>
  </si>
  <si>
    <t>Luftdichtheit</t>
  </si>
  <si>
    <t>geprüft</t>
  </si>
  <si>
    <t>Lueftungswaermeverlust</t>
  </si>
  <si>
    <t>Heizanlage</t>
  </si>
  <si>
    <t>Sonstiges</t>
  </si>
  <si>
    <t>55/45</t>
  </si>
  <si>
    <t>Vereinfachte-Datenaufnahme</t>
  </si>
  <si>
    <t>angerechneter-lokaler-erneuerbarer-Strom</t>
  </si>
  <si>
    <t>Energieeffizienzklasse</t>
  </si>
  <si>
    <t>A</t>
  </si>
  <si>
    <t>Deckungsanteil-1</t>
  </si>
  <si>
    <t>Deckungsanteil-2</t>
  </si>
  <si>
    <t>Sommerlicher-Waermeschutz</t>
  </si>
  <si>
    <t>Empfehlungen-moeglich</t>
  </si>
  <si>
    <t>Softwarehersteller-Programm-Version</t>
  </si>
  <si>
    <t>Fläche [m²]</t>
  </si>
  <si>
    <t>U-Wert [W/(m²K)]</t>
  </si>
  <si>
    <t>Flächenbezeichnung</t>
  </si>
  <si>
    <t xml:space="preserve"> </t>
  </si>
  <si>
    <t>Südost - 30°</t>
  </si>
  <si>
    <t>Südost - 45°</t>
  </si>
  <si>
    <t>Südost - 60°</t>
  </si>
  <si>
    <t>Südost - 90°</t>
  </si>
  <si>
    <t>Südwest - 30°</t>
  </si>
  <si>
    <t>Südwest - 45°</t>
  </si>
  <si>
    <t>Südwest - 60°</t>
  </si>
  <si>
    <t>Südwest - 90°</t>
  </si>
  <si>
    <t>Ost - 30°</t>
  </si>
  <si>
    <t>Ost - 45°</t>
  </si>
  <si>
    <t>Ost - 90°</t>
  </si>
  <si>
    <t>Ost - 60°</t>
  </si>
  <si>
    <t>West - 30°</t>
  </si>
  <si>
    <t>West - 45°</t>
  </si>
  <si>
    <t>West - 60°</t>
  </si>
  <si>
    <t>West - 90°</t>
  </si>
  <si>
    <t>Nordost - 30°</t>
  </si>
  <si>
    <t>Nordost - 45°</t>
  </si>
  <si>
    <t>Nordost - 60°</t>
  </si>
  <si>
    <t>Nordost - 90°</t>
  </si>
  <si>
    <t>Nordwest - 30°</t>
  </si>
  <si>
    <t>Nordwest - 45°</t>
  </si>
  <si>
    <t>Nordwest - 60°</t>
  </si>
  <si>
    <t>Nordwest - 90°</t>
  </si>
  <si>
    <t>Ost</t>
  </si>
  <si>
    <t>West</t>
  </si>
  <si>
    <t>Südost</t>
  </si>
  <si>
    <t>Südwest</t>
  </si>
  <si>
    <t>Nordost</t>
  </si>
  <si>
    <t>Nordwest</t>
  </si>
  <si>
    <t>g-Wert [-]</t>
  </si>
  <si>
    <t>ENDE</t>
  </si>
  <si>
    <t>Wärmebrückenzuschlag</t>
  </si>
  <si>
    <t>Baden-Württemberg</t>
  </si>
  <si>
    <t>Bayern</t>
  </si>
  <si>
    <t>Berlin</t>
  </si>
  <si>
    <t>Brandenburg</t>
  </si>
  <si>
    <t>Bremen</t>
  </si>
  <si>
    <t>Hamburg</t>
  </si>
  <si>
    <t>Mecklenburg-Vorpommern</t>
  </si>
  <si>
    <t>Niedersachsen</t>
  </si>
  <si>
    <t>Nordrhein-Westfalen</t>
  </si>
  <si>
    <t>Rheinland-Pfalz</t>
  </si>
  <si>
    <t>Saarland</t>
  </si>
  <si>
    <t>Sachsen</t>
  </si>
  <si>
    <t>Sachsen-Anhalt</t>
  </si>
  <si>
    <t>Schleswig-Holstein</t>
  </si>
  <si>
    <t>Thüringen</t>
  </si>
  <si>
    <t>bis 1918</t>
  </si>
  <si>
    <t>1919...1948</t>
  </si>
  <si>
    <t>1949...1957</t>
  </si>
  <si>
    <t>1958...1968</t>
  </si>
  <si>
    <t>1969...1978</t>
  </si>
  <si>
    <t>1995...2002</t>
  </si>
  <si>
    <t>enum</t>
  </si>
  <si>
    <t>Neubau</t>
  </si>
  <si>
    <t>Vermietung-Verkauf</t>
  </si>
  <si>
    <t>Aushangpflicht</t>
  </si>
  <si>
    <t>sonstiges</t>
  </si>
  <si>
    <t>Dieser Block enthält im Falle eines Wohngebäudes alle weiteren energetisch relevanten Daten.</t>
  </si>
  <si>
    <t>Grundsätzlicher Gebäudetypus des Gebäudes bzw. Gebäudeteils; die Angaben EFH mit ELW und Zweifamilienhaus sind gleichwertig und können je nach ortsüblichem Gebrauch oder Bauhistorie usw. verwendet werden.</t>
  </si>
  <si>
    <t>Mehrfamilienhaus</t>
  </si>
  <si>
    <t>Wohnteil gemischt genutztes Gebäude</t>
  </si>
  <si>
    <t>Anzahl der Wohneinheiten im Gebäude/Gebäudeteil.</t>
  </si>
  <si>
    <t>Energetische Nutzfläche AN des Gebäudes/Gebäudeteils (ganze Quadratmeter).</t>
  </si>
  <si>
    <t>Dieser Block enthält im Falle eines Wohngebäudes mit Nachweis nach DIN V 4108 / DIN V 4701 die Bedarfsdaten.</t>
  </si>
  <si>
    <t>Anbaugrad des Gebäudes bzw. Gebäudeteils an (beheizte) Nachbargebäude.</t>
  </si>
  <si>
    <t>einseitig angebaut</t>
  </si>
  <si>
    <t>zweiseitig angebaut</t>
  </si>
  <si>
    <t>undicht</t>
  </si>
  <si>
    <t>normal</t>
  </si>
  <si>
    <t>Sind die Anforderungen an den sommerlichen Wärmeschutz eingehalten? Relevant nur bei Neubau.</t>
  </si>
  <si>
    <t>boolean</t>
  </si>
  <si>
    <t>Empfehlungen möglich</t>
  </si>
  <si>
    <t>Softwarehersteller Programm Version</t>
  </si>
  <si>
    <t>Angaben zum / zu den Wärmeerzeuger(n); ist ein Gebäude ausschließlich passiv solar beheizt (Fenstereinstrahlung), ist als Wärmeerzeuger "Sonstiges" anzugeben. Ein Hinweis im Erläuterungsfeld auf Seite 4 des Energieausweises ist für diesen Fall zu empfehlen.</t>
  </si>
  <si>
    <t>Temperaturniveau der Heizungsverteilung Vorlauf/Rücklauf, bzw. Angabe von Luftheizsystem oder ausschliesslicher Beheizung über Einzelraumheizgeräte; anzugeben ist die Temperatur des höchsten Kreises, bei krummen Werten ist die nach Vorlauftemperatur nächst höhere Auswahl anzugeben.</t>
  </si>
  <si>
    <t>TRUE, wenn alle Wärmeerzeuger innerhalb der thermischen Gebäudehülle stehen.</t>
  </si>
  <si>
    <t>Ist zur Warmwasserverteilung eine Trinkwasser-seitige Zirkulation vorhanden?</t>
  </si>
  <si>
    <t>Energieeffizienzklasse des Gebäudes.</t>
  </si>
  <si>
    <t>(A\+)|[A-H]</t>
  </si>
  <si>
    <t>90/70</t>
  </si>
  <si>
    <t>70/55</t>
  </si>
  <si>
    <t>nur Einzelraum-Heizgeräte</t>
  </si>
  <si>
    <t>Heizöl</t>
  </si>
  <si>
    <t>Bioöl</t>
  </si>
  <si>
    <t>Erdgas</t>
  </si>
  <si>
    <t>Biogas</t>
  </si>
  <si>
    <t>Flüssiggas</t>
  </si>
  <si>
    <t>Steinkohle</t>
  </si>
  <si>
    <t>Braunkohle</t>
  </si>
  <si>
    <t>Strom</t>
  </si>
  <si>
    <t>Anzahl baugleiche</t>
  </si>
  <si>
    <t>Wärmeerzeuger 1</t>
  </si>
  <si>
    <t>Bauweise</t>
  </si>
  <si>
    <t>Baujahr</t>
  </si>
  <si>
    <t>Energieträger</t>
  </si>
  <si>
    <t>Wärmeerzeuger 2</t>
  </si>
  <si>
    <t>Angaben zum jeweiligen Wärmeerzeuger.</t>
  </si>
  <si>
    <t>Nennleistung des Wärmeerzeugers in kW, falls aus technischen Gründen keine Angabe der Nennleistung möglich, 0 angeben.</t>
  </si>
  <si>
    <t>Baujahr dieses Wärmeerzeugers oder Jahr der massgeblichen letzten baulichen Veränderung des Wärmeerzeugers.</t>
  </si>
  <si>
    <t>Anzahl ggfs. baugleich vorhandener Geräte (Mehrfach-Kessel, Einzelraumheizer usw.), bei nur einem Gerät Angabe "1".</t>
  </si>
  <si>
    <t>Vom Wärmeerzeuger verwendeter Energieträger.</t>
  </si>
  <si>
    <t>Angaben zum jeweiligen Warmwassererzeuger.</t>
  </si>
  <si>
    <t>Baujahr dieses Warmwassererzeugers oder Jahr der massgeblichen letzten baulichen Veränderung des Warmwassererzeugers.</t>
  </si>
  <si>
    <t>Anzahl ggfs. baugleich vorhandener Geräte (mehrfach vorhandene Untertischgeräte usw.), bei nur einem Gerät Angabe "1".</t>
  </si>
  <si>
    <t>Wenn Empfehlungen möglich sind, ist das Kreuz im Energieausweis entsprechend zu setzen, und es muss im Tag "Modernisierungsvorschlag" mindestens ein Modernisierungsvorschlag gegeben werden.</t>
  </si>
  <si>
    <t>Angabe, mit welcher Software die Berechnungen erfolgten (Herstellername, Programmbezeichnung, Programm-Version).</t>
  </si>
  <si>
    <t>g</t>
  </si>
  <si>
    <t>Pattern</t>
  </si>
  <si>
    <t>Gebäudenutzfläche [m²]</t>
  </si>
  <si>
    <t>Transmissionswärmeverlust [kWh/a]</t>
  </si>
  <si>
    <t>Lüftungsart Anlage ohne WRG</t>
  </si>
  <si>
    <t>Wohngebäude Anbaugrad</t>
  </si>
  <si>
    <t>durchschnittliche Geschosshöhe [m]</t>
  </si>
  <si>
    <t>Lüftungswärmeverlust [kWh/a]</t>
  </si>
  <si>
    <t>Vereinfachte Datenaufnahme</t>
  </si>
  <si>
    <t>Nennleistung [kW]</t>
  </si>
  <si>
    <t>Primärenergiefaktor [-]</t>
  </si>
  <si>
    <t>Deckungsanteil 1 [%]</t>
  </si>
  <si>
    <t>Deckungsanteil 2 [%]</t>
  </si>
  <si>
    <t>sommerlicher Wärmeschutz</t>
  </si>
  <si>
    <t>Angaben zu dem / den Warmwassererzeuger(n). Die Bauweise "Sonstiges" ist nur auszuwählen, wenn die Solaranlage nicht auch der Heizungsunterstützung dient, sondern ausschliesslich die Warmwasserbereitung versorgt.</t>
  </si>
  <si>
    <t>s</t>
  </si>
  <si>
    <t>Ausstellerstraße 2</t>
  </si>
  <si>
    <r>
      <t>f</t>
    </r>
    <r>
      <rPr>
        <vertAlign val="subscript"/>
        <sz val="10"/>
        <rFont val="Arial"/>
        <family val="2"/>
      </rPr>
      <t>G</t>
    </r>
    <r>
      <rPr>
        <sz val="10"/>
        <rFont val="Arial"/>
        <family val="2"/>
      </rPr>
      <t xml:space="preserve"> = 0,32 wenn 2,5 &lt; h</t>
    </r>
    <r>
      <rPr>
        <vertAlign val="subscript"/>
        <sz val="10"/>
        <rFont val="Arial"/>
        <family val="2"/>
      </rPr>
      <t>G</t>
    </r>
    <r>
      <rPr>
        <sz val="10"/>
        <rFont val="Arial"/>
        <family val="2"/>
      </rPr>
      <t xml:space="preserve"> &lt; 3 sonst = 1/h</t>
    </r>
    <r>
      <rPr>
        <vertAlign val="subscript"/>
        <sz val="10"/>
        <rFont val="Arial"/>
        <family val="2"/>
      </rPr>
      <t>G</t>
    </r>
    <r>
      <rPr>
        <sz val="10"/>
        <rFont val="Arial"/>
        <family val="2"/>
      </rPr>
      <t xml:space="preserve"> - 0,04 m</t>
    </r>
    <r>
      <rPr>
        <vertAlign val="superscript"/>
        <sz val="10"/>
        <rFont val="Arial"/>
        <family val="2"/>
      </rPr>
      <t>-1</t>
    </r>
  </si>
  <si>
    <t>Anlass der Ausstellung des Energieausweises. Treffen mehrere zu, so ist das Kreuz in der Rangfolge Neubau vor Modernisierung vor Vermietung/Verkauf  vor Aushangpflicht zu setzen.</t>
  </si>
  <si>
    <t>2 Wärmeverluste je Bauteiltyp</t>
  </si>
  <si>
    <t>3 Heizwärmebedarf</t>
  </si>
  <si>
    <t>(Bilanzanteile, Gewinne und Verluste)</t>
  </si>
  <si>
    <t>d</t>
  </si>
  <si>
    <t>qTWx</t>
  </si>
  <si>
    <t>qhTWx</t>
  </si>
  <si>
    <t>qTWxHE</t>
  </si>
  <si>
    <t>aTWg</t>
  </si>
  <si>
    <t>eTWg</t>
  </si>
  <si>
    <t>qTWgHE</t>
  </si>
  <si>
    <t>fP</t>
  </si>
  <si>
    <t>Art</t>
  </si>
  <si>
    <t>HArt</t>
  </si>
  <si>
    <t>Bereich</t>
  </si>
  <si>
    <t>Pos</t>
  </si>
  <si>
    <t>Ruck</t>
  </si>
  <si>
    <t>Wert</t>
  </si>
  <si>
    <t>Ziel</t>
  </si>
  <si>
    <t>Zuordnung Bauteil</t>
  </si>
  <si>
    <t>Fläche netto [m²]</t>
  </si>
  <si>
    <t>Nei-gung</t>
  </si>
  <si>
    <t>Flächenermittlung (Berechnungsformel, Hinweise zur Syntax siehe rechts)</t>
  </si>
  <si>
    <t>Umfang Bodengrundfläche P [m]</t>
  </si>
  <si>
    <t>Volumenermittlung</t>
  </si>
  <si>
    <t>Volumenermittlung (Berechnungsformel, Hinweise zur Syntax siehe rechts)</t>
  </si>
  <si>
    <r>
      <t>V</t>
    </r>
    <r>
      <rPr>
        <vertAlign val="subscript"/>
        <sz val="10"/>
        <rFont val="Arial"/>
        <family val="2"/>
      </rPr>
      <t>e</t>
    </r>
    <r>
      <rPr>
        <sz val="10"/>
        <rFont val="Arial"/>
        <family val="2"/>
      </rPr>
      <t xml:space="preserve"> [m³]</t>
    </r>
  </si>
  <si>
    <t>2*1,0*1,75 + 2*1,5*1,5</t>
  </si>
  <si>
    <t>1,50*2,54</t>
  </si>
  <si>
    <t>Gaube</t>
  </si>
  <si>
    <t>2*7,99 + 2*10,19</t>
  </si>
  <si>
    <r>
      <t>R</t>
    </r>
    <r>
      <rPr>
        <vertAlign val="subscript"/>
        <sz val="9"/>
        <rFont val="Arial"/>
        <family val="2"/>
      </rPr>
      <t>si</t>
    </r>
    <r>
      <rPr>
        <sz val="9"/>
        <rFont val="Arial"/>
        <family val="2"/>
      </rPr>
      <t>, R</t>
    </r>
    <r>
      <rPr>
        <vertAlign val="subscript"/>
        <sz val="9"/>
        <rFont val="Arial"/>
        <family val="2"/>
      </rPr>
      <t>se</t>
    </r>
  </si>
  <si>
    <t>Anteil Abschnitt</t>
  </si>
  <si>
    <t>Dicke d</t>
  </si>
  <si>
    <t>Auswahl Wärmeübergang/Beizeichnung Schicht</t>
  </si>
  <si>
    <t>Wärmestrom aufwärts</t>
  </si>
  <si>
    <t>Wärmestrom horizontal</t>
  </si>
  <si>
    <t>Wärmestrom abwärts</t>
  </si>
  <si>
    <r>
      <t>Lambda</t>
    </r>
    <r>
      <rPr>
        <sz val="9"/>
        <rFont val="Symbol"/>
        <family val="1"/>
        <charset val="2"/>
      </rPr>
      <t xml:space="preserve"> l</t>
    </r>
  </si>
  <si>
    <t>opake Bauteile: U-Wert-Berechnung</t>
  </si>
  <si>
    <t>[K/W]</t>
  </si>
  <si>
    <t>Nebenrechnung U-Werte ein-/ausblenden</t>
  </si>
  <si>
    <t>8.5  Lehmbaustoffe</t>
  </si>
  <si>
    <t>Lfd. Nr.</t>
  </si>
  <si>
    <t>Text</t>
  </si>
  <si>
    <t>alte Liste</t>
  </si>
  <si>
    <t>Name kurz</t>
  </si>
  <si>
    <t>Name lang</t>
  </si>
  <si>
    <t>Beschreibung Lang</t>
  </si>
  <si>
    <t>Beschreibung Kurz für Zusammenfassung</t>
  </si>
  <si>
    <t>qHx</t>
  </si>
  <si>
    <t>ce</t>
  </si>
  <si>
    <t>qHxHE</t>
  </si>
  <si>
    <t>aHg</t>
  </si>
  <si>
    <t>eHg</t>
  </si>
  <si>
    <t>qHgHE</t>
  </si>
  <si>
    <t>qLx</t>
  </si>
  <si>
    <t>qLg1</t>
  </si>
  <si>
    <t>eLg1</t>
  </si>
  <si>
    <t>qLgHE1</t>
  </si>
  <si>
    <t>qLgHE3</t>
  </si>
  <si>
    <t>eLg3</t>
  </si>
  <si>
    <t>qLg3</t>
  </si>
  <si>
    <t>qLgHE2</t>
  </si>
  <si>
    <t>eLg2</t>
  </si>
  <si>
    <t>qLg2</t>
  </si>
  <si>
    <t>2. Erzeuger TWW</t>
  </si>
  <si>
    <t>Elektro-WP</t>
  </si>
  <si>
    <t>solar</t>
  </si>
  <si>
    <t>2. Erzeuger H</t>
  </si>
  <si>
    <t>Zur Information (Blatt "Gebaeude"):</t>
  </si>
  <si>
    <t>Anwendung</t>
  </si>
  <si>
    <t>&lt; 200</t>
  </si>
  <si>
    <t>&gt; 400</t>
  </si>
  <si>
    <t>∞</t>
  </si>
  <si>
    <t>60–80</t>
  </si>
  <si>
    <t>1200–1800</t>
  </si>
  <si>
    <t>1670–2500</t>
  </si>
  <si>
    <t>1700–2200</t>
  </si>
  <si>
    <t>910–1180</t>
  </si>
  <si>
    <t>2700–3000</t>
  </si>
  <si>
    <t>2400–2700</t>
  </si>
  <si>
    <t>2500–2700</t>
  </si>
  <si>
    <t>2000–2800</t>
  </si>
  <si>
    <t>Rohdichte</t>
  </si>
  <si>
    <t>rho [kg/m³]</t>
  </si>
  <si>
    <t>Bemessungs-wärmeleit-fähigkeit</t>
  </si>
  <si>
    <t>lambda [W/(m K)]</t>
  </si>
  <si>
    <t>Spezifische Wärme-speicher-kapazität</t>
  </si>
  <si>
    <t>cp [J/(kg K)]</t>
  </si>
  <si>
    <t>Wasserdampf-diffusionswider-standszahl - trocken</t>
  </si>
  <si>
    <t>Wasserdampf-diffusionswider-standszahl - nass</t>
  </si>
  <si>
    <t>my [-]</t>
  </si>
  <si>
    <t>d, e</t>
  </si>
  <si>
    <t>f</t>
  </si>
  <si>
    <t>a Die Rohdichte von Beton ist als Trockenrohdichte angegeben.</t>
  </si>
  <si>
    <t>b Eine ausführliche Liste nichtrostender Stähle ist in EN 10088-1 enthalten. Sie kann verwendet werden, wenn die genaue Zusam-mensetzung des nichtrostenden Stahles bekannt ist.</t>
  </si>
  <si>
    <t>c Die Wärmeleitfähigkeit schließt den Einfluss der Papierdeckschichten mit ein.</t>
  </si>
  <si>
    <t>d Die Rohdichte von Nutzholz und Holzfaserplattenprodukten ist die Gleichgewichtsdichte bei 20 °C und einer relativen Luftfeuchte von 65 %.</t>
  </si>
  <si>
    <t>e Als Interimsmaßnahme und bis zum Vorliegen hinreichend zuverlässiger Daten können für Hartfaserplatten (solid wood panels (SWP)) und Bauholz mit Furnierschichten (laminated veneer lumber (LVL)) die für Sperrholz angegebenen Werte angewendet werden.</t>
  </si>
  <si>
    <t>f MDF bedeutet Medium Density fibreboard/mitteldichte Holzfaserplatte, die in sog. Trockenverfahren hergestellt worden ist.</t>
  </si>
  <si>
    <t>Tabellenwerte</t>
  </si>
  <si>
    <t>Fußnote</t>
  </si>
  <si>
    <t>Fuß-note</t>
  </si>
  <si>
    <t xml:space="preserve">(1 800) </t>
  </si>
  <si>
    <t xml:space="preserve">15/35 </t>
  </si>
  <si>
    <t xml:space="preserve">&lt; 1 300 </t>
  </si>
  <si>
    <t xml:space="preserve">15/20 </t>
  </si>
  <si>
    <t xml:space="preserve">≤ 1 000 </t>
  </si>
  <si>
    <t xml:space="preserve">5/20 </t>
  </si>
  <si>
    <t xml:space="preserve">(1 100) </t>
  </si>
  <si>
    <t xml:space="preserve">50/200 </t>
  </si>
  <si>
    <t>1.1 Putze</t>
  </si>
  <si>
    <t xml:space="preserve">(2 000) </t>
  </si>
  <si>
    <t xml:space="preserve">(1 600) </t>
  </si>
  <si>
    <t xml:space="preserve">250 </t>
  </si>
  <si>
    <t xml:space="preserve">400 </t>
  </si>
  <si>
    <t xml:space="preserve">700 </t>
  </si>
  <si>
    <t xml:space="preserve">1 000 </t>
  </si>
  <si>
    <t xml:space="preserve">1 500 </t>
  </si>
  <si>
    <t>1.2.6  Leichtmauermörtel</t>
  </si>
  <si>
    <t xml:space="preserve">1.2 Mauermörtel </t>
  </si>
  <si>
    <t>1 Asphalt</t>
  </si>
  <si>
    <t>2 Bitumen</t>
  </si>
  <si>
    <t>3 Beton</t>
  </si>
  <si>
    <t>4 Fußbodenbeläge</t>
  </si>
  <si>
    <t>5 Gase</t>
  </si>
  <si>
    <t>6 Glas</t>
  </si>
  <si>
    <t>7 Wasser</t>
  </si>
  <si>
    <t>8 Metalle</t>
  </si>
  <si>
    <t>9 Massive Kunststoffe</t>
  </si>
  <si>
    <t>10 Gummi</t>
  </si>
  <si>
    <t>11 Dichtungsstoffe, Dichtungen und wärmetechnische Trennungen</t>
  </si>
  <si>
    <t>12 Gips</t>
  </si>
  <si>
    <t>13 Putze und Mörtel</t>
  </si>
  <si>
    <t>14 Erdreich</t>
  </si>
  <si>
    <t>15 Gestein</t>
  </si>
  <si>
    <t>16 Dachziegelsteine</t>
  </si>
  <si>
    <t>17 Platten</t>
  </si>
  <si>
    <t>18 Nutzholz</t>
  </si>
  <si>
    <t>19 Holzwerkstoffe</t>
  </si>
  <si>
    <t>1.1 Asphalt</t>
  </si>
  <si>
    <t>4.1 Gummi</t>
  </si>
  <si>
    <t>4.2 Kunststoff</t>
  </si>
  <si>
    <t>4.3 Unterlagen, poröser Gummi oder Kunststoff</t>
  </si>
  <si>
    <t>4.4 Filzunterlage</t>
  </si>
  <si>
    <t>4.5 Wollunterlage</t>
  </si>
  <si>
    <t>4.6 Korkunterlage</t>
  </si>
  <si>
    <t>4.7 Korkfliesen</t>
  </si>
  <si>
    <t>4.8 Teppich/Teppichböden</t>
  </si>
  <si>
    <t>4.9 Linoleum</t>
  </si>
  <si>
    <t>5.1 Luft</t>
  </si>
  <si>
    <t>5.2 Kohlendioxid</t>
  </si>
  <si>
    <t>5.3 Argon</t>
  </si>
  <si>
    <t>5.4 Schwefelhexafluorid</t>
  </si>
  <si>
    <t>5.5 Krypton</t>
  </si>
  <si>
    <t>5.6 Xenon</t>
  </si>
  <si>
    <t>6.1 Natronglas (einschließlich Floatglas)</t>
  </si>
  <si>
    <t>6.2 Quarzglas</t>
  </si>
  <si>
    <t>6.3 Glasmosaik</t>
  </si>
  <si>
    <t>7.1 Eis bei -10 °C</t>
  </si>
  <si>
    <t>7.2 Eis bei 0 °C</t>
  </si>
  <si>
    <t>7.3 Schnee, frisch gefallen (&lt; 30 mm)</t>
  </si>
  <si>
    <t>7.4 Neuschnee, weich (30 mm bis 70 mm)</t>
  </si>
  <si>
    <t>7.5 Schnee, leicht verharscht (70 mm bis 100 mm)</t>
  </si>
  <si>
    <t>7.6 Schnee, verharscht (&lt; 200 mm)</t>
  </si>
  <si>
    <t>7.7 Wasser bei 10 °C</t>
  </si>
  <si>
    <t>7.8 Wasser bei 40 °C</t>
  </si>
  <si>
    <t>7.9 Wasser bei 80 °C</t>
  </si>
  <si>
    <t>8.1 Aluminiumlegierungen</t>
  </si>
  <si>
    <t>8.2 Bronze</t>
  </si>
  <si>
    <t>8.3 Messing</t>
  </si>
  <si>
    <t>8.4 Kupfer</t>
  </si>
  <si>
    <t>8.5 Gusseisen</t>
  </si>
  <si>
    <t>8.6 Blei</t>
  </si>
  <si>
    <t>8.7 Stahl</t>
  </si>
  <si>
    <t>8.9 nichtrostender Stahl, ferritisch oder martensitisch</t>
  </si>
  <si>
    <t>8.10 Zink</t>
  </si>
  <si>
    <t>9.1 Acrylkunststoffe</t>
  </si>
  <si>
    <t>9.2 Polycarbonate</t>
  </si>
  <si>
    <t>9.3 Polytetrafluorethylenkunststoffe (PTFE)</t>
  </si>
  <si>
    <t>9.4 Polyvinylchlorid (PVC)</t>
  </si>
  <si>
    <t>9.5 Polymethylmethacrylat (PMMA)</t>
  </si>
  <si>
    <t>9.6 Polyacetatkunststoffe</t>
  </si>
  <si>
    <t>9.7 Polyamid (Nylon)</t>
  </si>
  <si>
    <t>9.8 Polyamid 6.6 mit 25 % Glasfasern</t>
  </si>
  <si>
    <t>9.9 Polyethylen/Polythen, hohe Rohdichte</t>
  </si>
  <si>
    <t>9.10 Polyethylen/Polythen, niedrige Rohdichte</t>
  </si>
  <si>
    <t>9.11 Polystyrol</t>
  </si>
  <si>
    <t>9.12 Polypropylen</t>
  </si>
  <si>
    <t>9.13 Polypropylen mit 25 % Glasfasern</t>
  </si>
  <si>
    <t>9.14 Polyurethan (PU)</t>
  </si>
  <si>
    <t>9.15 Epoxydharz</t>
  </si>
  <si>
    <t>9.16 Phenolharz</t>
  </si>
  <si>
    <t>9.17 Polyesterharz</t>
  </si>
  <si>
    <t>10.1 Naturkautschuk</t>
  </si>
  <si>
    <t>10.2 Neopren (Polychloropren)</t>
  </si>
  <si>
    <t>10.3 Butylkautschuk (Isobutenkautschuk), hart/heiß geschmolzen</t>
  </si>
  <si>
    <t>10.4 Schaumgummi</t>
  </si>
  <si>
    <t>10.5 Hartgummi (Ebonit), hart</t>
  </si>
  <si>
    <t>10.6 Ethylen-Propylendien, Monomer (EPDM)</t>
  </si>
  <si>
    <t>10.7 Polyisobutylenkautschuk</t>
  </si>
  <si>
    <t>10.8 Polysulfid</t>
  </si>
  <si>
    <t>10.9 Butadien</t>
  </si>
  <si>
    <t>11.1 Silicagel (Trockenmittel)</t>
  </si>
  <si>
    <t>11.2 Silicon, ohne Füllstoff</t>
  </si>
  <si>
    <t>11.3 Silicon, mit Füllstoff</t>
  </si>
  <si>
    <t>11.4 Siliconschaum</t>
  </si>
  <si>
    <t>11.5 Urethan/Polyurethanschaum (als wärmetechnische Trennung)</t>
  </si>
  <si>
    <t>11.6 Weichpolyvinylchlorid (PVC-P), mit 40 % Weichmacher</t>
  </si>
  <si>
    <t>11.7 Elastomerschaum, flexibel</t>
  </si>
  <si>
    <t>11.8 Polyurethanschaum (PU)</t>
  </si>
  <si>
    <t>11.9 Polyethylenschaum</t>
  </si>
  <si>
    <t>12.1 Gips</t>
  </si>
  <si>
    <t>12.2 Gips</t>
  </si>
  <si>
    <t>12.3 Gips</t>
  </si>
  <si>
    <t>12.4 Gips</t>
  </si>
  <si>
    <t>12.5 Gipskartonplatte</t>
  </si>
  <si>
    <t>12.6 Gipskartonplatte</t>
  </si>
  <si>
    <t>13.1 Gipsdämmputz</t>
  </si>
  <si>
    <t>13.2 Gipsputz</t>
  </si>
  <si>
    <t>13.3 Gipsputz</t>
  </si>
  <si>
    <t>13.4 Gips, Sand</t>
  </si>
  <si>
    <t>13.5 Kalk, Sand</t>
  </si>
  <si>
    <t>13.6 Zement, Sand</t>
  </si>
  <si>
    <t>14.1 Ton, Schlick oder Schlamm</t>
  </si>
  <si>
    <t>14.2 Sand und Kies</t>
  </si>
  <si>
    <t>15.1 Kristalliner Naturstein</t>
  </si>
  <si>
    <t>15.2 Sediment-Naturstein</t>
  </si>
  <si>
    <t>15.3 leichter Sediment-Naturstein</t>
  </si>
  <si>
    <t>15.4 poröses Gestein, z. B. Lava</t>
  </si>
  <si>
    <t>15.5 Basalt</t>
  </si>
  <si>
    <t>15.6 Gneis</t>
  </si>
  <si>
    <t>15.7 Granit</t>
  </si>
  <si>
    <t>15.8 Marmor</t>
  </si>
  <si>
    <t>15.9 Schiefer</t>
  </si>
  <si>
    <t>15.10 Kalkstein, extra weich</t>
  </si>
  <si>
    <t>15.11 Kalkstein, weich</t>
  </si>
  <si>
    <t>15.12 Kalkstein, mittelhart</t>
  </si>
  <si>
    <t>15.13 Kalkstein, hart</t>
  </si>
  <si>
    <t>15.14 Kalkstein, extra hart</t>
  </si>
  <si>
    <t>15.15 Sandstein (Quarzit)</t>
  </si>
  <si>
    <t>15.16 Naturbims</t>
  </si>
  <si>
    <t>15.17 Kunststein</t>
  </si>
  <si>
    <t>16.1 Ton</t>
  </si>
  <si>
    <t>16.2 Beton</t>
  </si>
  <si>
    <t>17.1 Keramik/Porzellan</t>
  </si>
  <si>
    <t>17.2 Kunststoff</t>
  </si>
  <si>
    <t>18.1 Nutzholz</t>
  </si>
  <si>
    <t>18.2 Nutzholz</t>
  </si>
  <si>
    <t>18.3 Nutzholz</t>
  </si>
  <si>
    <t>19.1 Sperrholz</t>
  </si>
  <si>
    <t>19.2 Sperrholz</t>
  </si>
  <si>
    <t>19.3 Sperrholz</t>
  </si>
  <si>
    <t>19.4 Sperrholz</t>
  </si>
  <si>
    <t>19.5 zementgebundene Spanplatten</t>
  </si>
  <si>
    <t>19.6 Spanplatten</t>
  </si>
  <si>
    <t>19.7 Spanplatten</t>
  </si>
  <si>
    <t>19.8 Spanplatten</t>
  </si>
  <si>
    <t>19.9 OSB-Platten</t>
  </si>
  <si>
    <t>19.10 Holzfaserplatten, einschließlich MDF</t>
  </si>
  <si>
    <t>19.11 Holzfaserplatten, einschließlich MDF</t>
  </si>
  <si>
    <t>19.12 Holzfaserplatten, einschließlich MDF</t>
  </si>
  <si>
    <t>19.13 Holzfaserplatten, einschließlich MDF</t>
  </si>
  <si>
    <t>1.3 Estriche</t>
  </si>
  <si>
    <t xml:space="preserve">(2 300) </t>
  </si>
  <si>
    <t xml:space="preserve">d </t>
  </si>
  <si>
    <t xml:space="preserve">(2 100) </t>
  </si>
  <si>
    <t xml:space="preserve">1 400 </t>
  </si>
  <si>
    <t xml:space="preserve">2 300 </t>
  </si>
  <si>
    <t>2 Beton-Bauteile</t>
  </si>
  <si>
    <t xml:space="preserve">800 </t>
  </si>
  <si>
    <t xml:space="preserve">70/150 </t>
  </si>
  <si>
    <t xml:space="preserve">900 </t>
  </si>
  <si>
    <t xml:space="preserve">1 100 </t>
  </si>
  <si>
    <t xml:space="preserve">1 200 </t>
  </si>
  <si>
    <t xml:space="preserve">1 300 </t>
  </si>
  <si>
    <t xml:space="preserve">1 600 </t>
  </si>
  <si>
    <t xml:space="preserve">1 800 </t>
  </si>
  <si>
    <t xml:space="preserve">2 000 </t>
  </si>
  <si>
    <t>2.2 Leicht-/Stahlbeton</t>
  </si>
  <si>
    <t>2.3 Porenbeton</t>
  </si>
  <si>
    <t xml:space="preserve">350 </t>
  </si>
  <si>
    <t xml:space="preserve">5/10 </t>
  </si>
  <si>
    <t xml:space="preserve">450 </t>
  </si>
  <si>
    <t xml:space="preserve">500 </t>
  </si>
  <si>
    <t xml:space="preserve">550 </t>
  </si>
  <si>
    <t xml:space="preserve">600 </t>
  </si>
  <si>
    <t xml:space="preserve">650 </t>
  </si>
  <si>
    <t xml:space="preserve">750 </t>
  </si>
  <si>
    <t>2.4 Leichtbeton</t>
  </si>
  <si>
    <t xml:space="preserve">Leichtbeton mit haufwerkporigem Gefüge </t>
  </si>
  <si>
    <t xml:space="preserve">3/10 </t>
  </si>
  <si>
    <t xml:space="preserve">5/15 </t>
  </si>
  <si>
    <t xml:space="preserve">1000 </t>
  </si>
  <si>
    <t xml:space="preserve">1200 </t>
  </si>
  <si>
    <t xml:space="preserve">1400 </t>
  </si>
  <si>
    <t xml:space="preserve">1600 </t>
  </si>
  <si>
    <t>e</t>
  </si>
  <si>
    <t xml:space="preserve">und Porenbeton-Planbauplatten, unbewehrt, nach DIN 4166 </t>
  </si>
  <si>
    <t>3.1.1 Porenbeton-Bauplatten (Ppl) mit normaler Fugendicke</t>
  </si>
  <si>
    <t>2.4.1 Leichtbeton mit nichtporigen Zuschlägen</t>
  </si>
  <si>
    <t>3.1 Porenbeton</t>
  </si>
  <si>
    <t>3.3 Gips</t>
  </si>
  <si>
    <t xml:space="preserve">4/10 </t>
  </si>
  <si>
    <t>4 Mauerwerk</t>
  </si>
  <si>
    <t>einschließlich Mörtelfugen</t>
  </si>
  <si>
    <t>3.1.2 Porenbeton-Planbauplatten (Pppl), dünnfugig verlegt</t>
  </si>
  <si>
    <t>2.4.2.2 Leichtbeton ausschließlich unter Verwendung von Blähton</t>
  </si>
  <si>
    <t>2.4.2.1 Leichtbeton ausschließlich unter Verwendung von Naturbims</t>
  </si>
  <si>
    <t>2.4.2 Leichtbeton mit porigen Zuschlägen ohne Quarzsandzusatze</t>
  </si>
  <si>
    <t>2.3 Dampfgehärteter Porenbeton</t>
  </si>
  <si>
    <t>2.2 Leicht-/Stahlleichtbeton mit geschl. Gefüg</t>
  </si>
  <si>
    <t>1.3.4  Magnesia-Estrich</t>
  </si>
  <si>
    <t>1.1.1  Putzmörtel aus Kalk, Kalkzement und hydraulischem Kalk</t>
  </si>
  <si>
    <t>1.1.3  Leichtputz</t>
  </si>
  <si>
    <t>1.2.1  Zementmörtel</t>
  </si>
  <si>
    <t>1.2.2  Normalmörtel NM</t>
  </si>
  <si>
    <t>1.2.3  Dünnbettmauermörtel</t>
  </si>
  <si>
    <t xml:space="preserve">1800 </t>
  </si>
  <si>
    <t xml:space="preserve">50/100 </t>
  </si>
  <si>
    <t xml:space="preserve">2000 </t>
  </si>
  <si>
    <t xml:space="preserve">2200 </t>
  </si>
  <si>
    <t xml:space="preserve">2400 </t>
  </si>
  <si>
    <t>4.1.1 Klinker</t>
  </si>
  <si>
    <t>4.1.2 Vollziegel</t>
  </si>
  <si>
    <t>4.1.3  Hochlochziegel</t>
  </si>
  <si>
    <t xml:space="preserve">850 </t>
  </si>
  <si>
    <t xml:space="preserve">950 </t>
  </si>
  <si>
    <t>4.2  Kalksandsteine</t>
  </si>
  <si>
    <t xml:space="preserve">Vollziegel, Hochlochziegel, Füllziegel </t>
  </si>
  <si>
    <t>4.2  Mauerwerk aus Kalksandsteinen</t>
  </si>
  <si>
    <t xml:space="preserve">15/25 </t>
  </si>
  <si>
    <t>4.4  Mauerwerk aus Porenbeton-Plansteinen (PP)</t>
  </si>
  <si>
    <t>e,f,i</t>
  </si>
  <si>
    <t>f,i</t>
  </si>
  <si>
    <t xml:space="preserve">Hohlblöcke (Hbl) nach DIN V 18151-100 und Hohlwandplatten nach DIN 18148, Gruppe 2 </t>
  </si>
  <si>
    <t xml:space="preserve">Vollblöcke (Vbl, S-W) nach DIN V 18152-100 </t>
  </si>
  <si>
    <t>10/15</t>
  </si>
  <si>
    <t xml:space="preserve">Vollblöcke (Vbl) und Vbl-S nach DIN V 18152:100 aus Leichtbeton mit anderen leichten Zuschlägen als Naturbims und Blähton </t>
  </si>
  <si>
    <t xml:space="preserve">Vollsteine (V) nach DIN V 18152-100 </t>
  </si>
  <si>
    <t xml:space="preserve">Mauersteine nach DIN V 18153-100 aus Beton bzw. DIN EN 771-3 in Verbindung mit DIN V 20000-403 </t>
  </si>
  <si>
    <t xml:space="preserve">20/30 </t>
  </si>
  <si>
    <t xml:space="preserve">(1200) </t>
  </si>
  <si>
    <t xml:space="preserve">20 000 </t>
  </si>
  <si>
    <t xml:space="preserve">20 00/20 000 </t>
  </si>
  <si>
    <t xml:space="preserve">Dachbahnen, Dachabdichtungsbahnen </t>
  </si>
  <si>
    <t>7.3  Dachbahnen</t>
  </si>
  <si>
    <t>7.4  Folien</t>
  </si>
  <si>
    <t xml:space="preserve">10 000 </t>
  </si>
  <si>
    <t xml:space="preserve">50 000 </t>
  </si>
  <si>
    <t>8.1  Lose Schüttung</t>
  </si>
  <si>
    <t>Sonstige gebräuchliche Stoffe</t>
  </si>
  <si>
    <t>g,h</t>
  </si>
  <si>
    <t xml:space="preserve">3 </t>
  </si>
  <si>
    <t xml:space="preserve">(≤ 200) </t>
  </si>
  <si>
    <t xml:space="preserve">(≤ 600) </t>
  </si>
  <si>
    <t xml:space="preserve">(≤ 400) </t>
  </si>
  <si>
    <t xml:space="preserve">(≤ 1000) </t>
  </si>
  <si>
    <t xml:space="preserve">(≤ 1200) </t>
  </si>
  <si>
    <t xml:space="preserve">(≤ 1500) </t>
  </si>
  <si>
    <t xml:space="preserve">(15) </t>
  </si>
  <si>
    <t xml:space="preserve">(1800) </t>
  </si>
  <si>
    <t xml:space="preserve">8.1.1 Schüttung Korkschrot, expandiert </t>
  </si>
  <si>
    <t xml:space="preserve">8.1.1 Schüttung Hüttenbims </t>
  </si>
  <si>
    <t xml:space="preserve">8.1.1 Schüttung Blähton, Blähschiefer </t>
  </si>
  <si>
    <t xml:space="preserve">8.1.1 Schüttung Bimskies </t>
  </si>
  <si>
    <t xml:space="preserve">8.1.1 Schüttung Schaumlava </t>
  </si>
  <si>
    <t xml:space="preserve">8.1.2 Schüttung aus Polystyrolschaumstoff-Partikeln </t>
  </si>
  <si>
    <t xml:space="preserve">8.1.3 Schüttung aus Sand, Kies, Splitt (trocken) </t>
  </si>
  <si>
    <t>abgedeckt aus porigen Stoffen</t>
  </si>
  <si>
    <t>8.2  Fliesen</t>
  </si>
  <si>
    <t>8.3  Glas</t>
  </si>
  <si>
    <t>8.4  Natursteine</t>
  </si>
  <si>
    <t xml:space="preserve">a Die in Klammern angegebenen Rohdichtewerte dienen nur zur Ermittlung der flächenbezogenen Masse, z. B. für den Nachweis des sommerlichen Wärmeschutzes. </t>
  </si>
  <si>
    <t xml:space="preserve">b Die bei den Steinen genannten Rohdichten entsprechen den Rohdichteklassen der zitierten Stoffnormen. </t>
  </si>
  <si>
    <t xml:space="preserve">c Es ist jeweils der für die Baukonstruktion ungünstigere Wert einzusetzen. Bezüglich der Anwendung der μ-Werte siehe DIN 4108-3. </t>
  </si>
  <si>
    <t xml:space="preserve">d Praktisch dampfdicht; nach DIN EN 12086 oder DIN EN ISO 12572:sd ≥ 1 500 m </t>
  </si>
  <si>
    <t xml:space="preserve">f Bezeichnung der Mörtelarten nach DIN 1053-1 </t>
  </si>
  <si>
    <t xml:space="preserve">i Wenn keine Werte angegeben sind, gelten die Werte der Spalte „NM“. </t>
  </si>
  <si>
    <t xml:space="preserve">g Diese Stoffe sind hinsichtlich ihrer wärmeschutztechnischen Eigenschaften nicht genormt. Die angegebenen Wärmeleitfähigkeitswerte stellen obere Grenzwerte dar. </t>
  </si>
  <si>
    <t xml:space="preserve">h Die Dichte wird bei losen Schüttungen als Schüttdichte angegeben. </t>
  </si>
  <si>
    <t>5.1 Mineralwolle</t>
  </si>
  <si>
    <t>5.2 Expandierter Polystyrolschaum</t>
  </si>
  <si>
    <t>20/100</t>
  </si>
  <si>
    <t>5.3 Extrudierter Polystyrolschaum</t>
  </si>
  <si>
    <t>40/200</t>
  </si>
  <si>
    <t>5.5 Phenolharz-Hartschaum</t>
  </si>
  <si>
    <t>5.6 Schaumglas</t>
  </si>
  <si>
    <t>5.7.2 Holzwolledeckschicht(en)</t>
  </si>
  <si>
    <t>5.8 Blähperlit</t>
  </si>
  <si>
    <t>80/250</t>
  </si>
  <si>
    <t>10/60</t>
  </si>
  <si>
    <t>2/5</t>
  </si>
  <si>
    <t>20/50</t>
  </si>
  <si>
    <t>5</t>
  </si>
  <si>
    <t>5.9 Expandierter Kork</t>
  </si>
  <si>
    <t>5.10 Holzfaserdämmstoff</t>
  </si>
  <si>
    <t>5/10</t>
  </si>
  <si>
    <t>5.11 Wärmedämmputz</t>
  </si>
  <si>
    <t>5/20</t>
  </si>
  <si>
    <t>ANMERKUNG 1 Für Computerberechnungen kann der ∞-Wert durch einen beliebig großen Wert, wie z. B. 106 ersetzt werden.</t>
  </si>
  <si>
    <t>ANMERKUNG 2 Wasserdampfdiffusionswiderstandszahlen sind als Werte für trockene und nasse Prüfgefäße ange-geben, siehe 8.3.</t>
  </si>
  <si>
    <t>DIN EN ISO 6946 : 2008-04 - Tabelle 1 Wärmeübergänge</t>
  </si>
  <si>
    <t>Tabelle C.1-1:</t>
  </si>
  <si>
    <t>flächenbezogener Wärme- und Hilfsenergiebedarf für die Nutzenübergabe der Trinkwarmwassererwärmung</t>
  </si>
  <si>
    <t>flächenbezogener Energiebedarf der Nutzenübergabe</t>
  </si>
  <si>
    <t>Wärme</t>
  </si>
  <si>
    <t>Hilfsenergie</t>
  </si>
  <si>
    <r>
      <t>q</t>
    </r>
    <r>
      <rPr>
        <vertAlign val="subscript"/>
        <sz val="10"/>
        <rFont val="Arial"/>
        <family val="2"/>
      </rPr>
      <t>TW,c</t>
    </r>
  </si>
  <si>
    <r>
      <t>q</t>
    </r>
    <r>
      <rPr>
        <vertAlign val="subscript"/>
        <sz val="10"/>
        <rFont val="Arial"/>
        <family val="2"/>
      </rPr>
      <t>TW,c,HE</t>
    </r>
  </si>
  <si>
    <t>alle Systeme</t>
  </si>
  <si>
    <t>Tabelle C.1-2a:</t>
  </si>
  <si>
    <r>
      <t>flächenbezogener Wärmeverlust der Verteilung q</t>
    </r>
    <r>
      <rPr>
        <vertAlign val="subscript"/>
        <sz val="10"/>
        <rFont val="Arial"/>
        <family val="2"/>
      </rPr>
      <t>TW,d</t>
    </r>
    <r>
      <rPr>
        <sz val="10"/>
        <rFont val="Arial"/>
        <family val="2"/>
      </rPr>
      <t xml:space="preserve"> für Trinkwarmwasser- und Zirkulationsleitungen</t>
    </r>
  </si>
  <si>
    <r>
      <t>A</t>
    </r>
    <r>
      <rPr>
        <vertAlign val="subscript"/>
        <sz val="10"/>
        <rFont val="Arial"/>
        <family val="2"/>
      </rPr>
      <t>Nutz</t>
    </r>
  </si>
  <si>
    <r>
      <t>flächenbezogener Wärmeverlust q</t>
    </r>
    <r>
      <rPr>
        <vertAlign val="subscript"/>
        <sz val="10"/>
        <rFont val="Arial"/>
        <family val="2"/>
      </rPr>
      <t>TW,d</t>
    </r>
    <r>
      <rPr>
        <sz val="10"/>
        <rFont val="Arial"/>
        <family val="2"/>
      </rPr>
      <t xml:space="preserve"> [kWh/(m²a)]</t>
    </r>
  </si>
  <si>
    <t>[m²]</t>
  </si>
  <si>
    <t>mit Zirkulation</t>
  </si>
  <si>
    <t>ohne Zirkulation</t>
  </si>
  <si>
    <t>Verteilung außerhalb</t>
  </si>
  <si>
    <t>Verteilung innerhalb</t>
  </si>
  <si>
    <t>thermischer Hülle</t>
  </si>
  <si>
    <r>
      <t>thermischer Hülle</t>
    </r>
    <r>
      <rPr>
        <vertAlign val="superscript"/>
        <sz val="10"/>
        <rFont val="Arial"/>
        <family val="2"/>
      </rPr>
      <t xml:space="preserve"> 8</t>
    </r>
  </si>
  <si>
    <t>Wärme-</t>
  </si>
  <si>
    <t>Heizwärme-</t>
  </si>
  <si>
    <t>Verlust</t>
  </si>
  <si>
    <t>gutschrift</t>
  </si>
  <si>
    <r>
      <t>q</t>
    </r>
    <r>
      <rPr>
        <vertAlign val="subscript"/>
        <sz val="10"/>
        <rFont val="Arial"/>
        <family val="2"/>
      </rPr>
      <t>TW,d</t>
    </r>
  </si>
  <si>
    <r>
      <t>q</t>
    </r>
    <r>
      <rPr>
        <vertAlign val="subscript"/>
        <sz val="10"/>
        <rFont val="Arial"/>
        <family val="2"/>
      </rPr>
      <t>h,TW,d</t>
    </r>
  </si>
  <si>
    <r>
      <t>8)</t>
    </r>
    <r>
      <rPr>
        <sz val="10"/>
        <rFont val="Arial"/>
        <family val="2"/>
      </rPr>
      <t xml:space="preserve"> Steigleitungen im nicht belüfteten Schacht</t>
    </r>
  </si>
  <si>
    <t>Tabelle C.1-2b:</t>
  </si>
  <si>
    <r>
      <t>flächenbezogener Hilfsenergiebedarf q</t>
    </r>
    <r>
      <rPr>
        <vertAlign val="subscript"/>
        <sz val="10"/>
        <rFont val="Arial"/>
        <family val="2"/>
      </rPr>
      <t>TW,d,HE</t>
    </r>
    <r>
      <rPr>
        <sz val="10"/>
        <rFont val="Arial"/>
        <family val="2"/>
      </rPr>
      <t xml:space="preserve"> für Trinkwarmwasser- und Zirkulationsleitungen</t>
    </r>
  </si>
  <si>
    <r>
      <t>flächenbezogener Hilfsenergiebedarf q</t>
    </r>
    <r>
      <rPr>
        <vertAlign val="subscript"/>
        <sz val="10"/>
        <rFont val="Arial"/>
        <family val="2"/>
      </rPr>
      <t>TW,d,HE</t>
    </r>
    <r>
      <rPr>
        <sz val="10"/>
        <rFont val="Arial"/>
        <family val="2"/>
      </rPr>
      <t xml:space="preserve"> [kWh/(m²a)]</t>
    </r>
  </si>
  <si>
    <t>Tabelle C.1-2c:</t>
  </si>
  <si>
    <t>flächenbezogener Wärmeverlust für die Stichleitungen der Trinkwarmwassererwärmung</t>
  </si>
  <si>
    <t>System</t>
  </si>
  <si>
    <t>pro Strang (Gerät) sind angeschlossen:</t>
  </si>
  <si>
    <t>Flächenbezoge-</t>
  </si>
  <si>
    <t>Hilfs-</t>
  </si>
  <si>
    <t>ner Wärmeverlust</t>
  </si>
  <si>
    <t>energie</t>
  </si>
  <si>
    <r>
      <t>q</t>
    </r>
    <r>
      <rPr>
        <vertAlign val="subscript"/>
        <sz val="10"/>
        <rFont val="Arial"/>
        <family val="2"/>
      </rPr>
      <t>TW,d,HE</t>
    </r>
  </si>
  <si>
    <t>1 Raum, 1 Zapfstelle (z.B. Untertischgerät)</t>
  </si>
  <si>
    <t>1 Raum, mehrere Zapfstellen (z.B. Badezimmer)</t>
  </si>
  <si>
    <t>2 Räume mit gemeinsamer Installationswand</t>
  </si>
  <si>
    <t>Wohnungszentrale Trinkwarmwasser-Versorgung</t>
  </si>
  <si>
    <t>Tabelle C.1-3a:</t>
  </si>
  <si>
    <r>
      <t xml:space="preserve">flächenbezogener Wärmeverlust </t>
    </r>
    <r>
      <rPr>
        <vertAlign val="subscript"/>
        <sz val="10"/>
        <rFont val="Arial"/>
        <family val="2"/>
      </rPr>
      <t>qTW,s</t>
    </r>
    <r>
      <rPr>
        <sz val="10"/>
        <rFont val="Arial"/>
        <family val="2"/>
      </rPr>
      <t xml:space="preserve"> für Trinkwarmwasser-Speicherung (Aufstellung innerhalb oder außerhalb der thermischen Hülle)</t>
    </r>
  </si>
  <si>
    <r>
      <t>Wärmebedarf q</t>
    </r>
    <r>
      <rPr>
        <vertAlign val="subscript"/>
        <sz val="10"/>
        <rFont val="Arial"/>
        <family val="2"/>
      </rPr>
      <t>TW,s</t>
    </r>
    <r>
      <rPr>
        <sz val="10"/>
        <rFont val="Arial"/>
        <family val="2"/>
      </rPr>
      <t xml:space="preserve"> [kWh/(m²a)]</t>
    </r>
  </si>
  <si>
    <t>Indirekt</t>
  </si>
  <si>
    <t>Elektro-</t>
  </si>
  <si>
    <t>1 Elektro Kleinspeicher</t>
  </si>
  <si>
    <t>Solarspeicher</t>
  </si>
  <si>
    <t>Gasbeheizter</t>
  </si>
  <si>
    <t>beheizter Speicher</t>
  </si>
  <si>
    <t>Nachtspeicher</t>
  </si>
  <si>
    <t>Tagesspeicher</t>
  </si>
  <si>
    <t>je 80m²</t>
  </si>
  <si>
    <t>Trinkwasserspeicher</t>
  </si>
  <si>
    <r>
      <t>q</t>
    </r>
    <r>
      <rPr>
        <vertAlign val="subscript"/>
        <sz val="10"/>
        <rFont val="Arial"/>
        <family val="2"/>
      </rPr>
      <t>TW,s</t>
    </r>
  </si>
  <si>
    <r>
      <t>q</t>
    </r>
    <r>
      <rPr>
        <vertAlign val="subscript"/>
        <sz val="10"/>
        <rFont val="Arial"/>
        <family val="2"/>
      </rPr>
      <t>h,TW,s</t>
    </r>
  </si>
  <si>
    <t>Tabelle C.1-3b:</t>
  </si>
  <si>
    <r>
      <t>flächenbezogener Hilfsenergiebedarf q</t>
    </r>
    <r>
      <rPr>
        <vertAlign val="subscript"/>
        <sz val="10"/>
        <rFont val="Arial"/>
        <family val="2"/>
      </rPr>
      <t>TW,s,HE</t>
    </r>
    <r>
      <rPr>
        <sz val="10"/>
        <rFont val="Arial"/>
        <family val="2"/>
      </rPr>
      <t xml:space="preserve"> für die Trinkwarmwasser-Speicherung</t>
    </r>
  </si>
  <si>
    <r>
      <t>flächenbezogener Hilfsenergiebedarf q</t>
    </r>
    <r>
      <rPr>
        <vertAlign val="subscript"/>
        <sz val="10"/>
        <rFont val="Arial"/>
        <family val="2"/>
      </rPr>
      <t>TW,s,HE</t>
    </r>
    <r>
      <rPr>
        <sz val="10"/>
        <rFont val="Arial"/>
        <family val="2"/>
      </rPr>
      <t xml:space="preserve"> [kWh/(m²a)]</t>
    </r>
  </si>
  <si>
    <t>Tabelle C.1-4a:</t>
  </si>
  <si>
    <r>
      <t>Deckungsanteile α</t>
    </r>
    <r>
      <rPr>
        <vertAlign val="subscript"/>
        <sz val="10"/>
        <rFont val="Arial"/>
        <family val="2"/>
      </rPr>
      <t>g,W</t>
    </r>
    <r>
      <rPr>
        <sz val="10"/>
        <rFont val="Arial"/>
        <family val="2"/>
      </rPr>
      <t xml:space="preserve"> bei Trinkwassererwärmungs-Systemen</t>
    </r>
  </si>
  <si>
    <t>Solare Trinkwassererwärmung</t>
  </si>
  <si>
    <r>
      <t>α</t>
    </r>
    <r>
      <rPr>
        <vertAlign val="subscript"/>
        <sz val="10"/>
        <rFont val="Arial"/>
        <family val="2"/>
      </rPr>
      <t>W,S</t>
    </r>
    <r>
      <rPr>
        <sz val="10"/>
        <rFont val="Arial"/>
        <family val="2"/>
      </rPr>
      <t xml:space="preserve"> = α</t>
    </r>
    <r>
      <rPr>
        <vertAlign val="subscript"/>
        <sz val="10"/>
        <rFont val="Arial"/>
        <family val="2"/>
      </rPr>
      <t>1</t>
    </r>
  </si>
  <si>
    <r>
      <t>α</t>
    </r>
    <r>
      <rPr>
        <vertAlign val="subscript"/>
        <sz val="10"/>
        <rFont val="Arial"/>
        <family val="2"/>
      </rPr>
      <t>W,S</t>
    </r>
    <r>
      <rPr>
        <sz val="10"/>
        <rFont val="Arial"/>
        <family val="2"/>
      </rPr>
      <t xml:space="preserve"> =</t>
    </r>
  </si>
  <si>
    <r>
      <t>A</t>
    </r>
    <r>
      <rPr>
        <vertAlign val="subscript"/>
        <sz val="10"/>
        <rFont val="Arial"/>
        <family val="2"/>
      </rPr>
      <t>C</t>
    </r>
  </si>
  <si>
    <r>
      <t>A</t>
    </r>
    <r>
      <rPr>
        <vertAlign val="subscript"/>
        <sz val="10"/>
        <rFont val="Arial"/>
        <family val="2"/>
      </rPr>
      <t>N</t>
    </r>
  </si>
  <si>
    <t>Aufstellung außerhalb</t>
  </si>
  <si>
    <t>Aufstellung innerhalb</t>
  </si>
  <si>
    <t>der thermischen Hülle</t>
  </si>
  <si>
    <t>(Speicher und</t>
  </si>
  <si>
    <t>Verteilleitungen)</t>
  </si>
  <si>
    <t>mit</t>
  </si>
  <si>
    <t>ohne</t>
  </si>
  <si>
    <t>Zirkulation</t>
  </si>
  <si>
    <t>Flachkollektor</t>
  </si>
  <si>
    <t>Grundheizung</t>
  </si>
  <si>
    <r>
      <t>α</t>
    </r>
    <r>
      <rPr>
        <vertAlign val="subscript"/>
        <sz val="10"/>
        <rFont val="Arial"/>
        <family val="2"/>
      </rPr>
      <t>TW,G</t>
    </r>
    <r>
      <rPr>
        <sz val="10"/>
        <rFont val="Arial"/>
        <family val="2"/>
      </rPr>
      <t xml:space="preserve"> = (1- α</t>
    </r>
    <r>
      <rPr>
        <vertAlign val="subscript"/>
        <sz val="10"/>
        <rFont val="Arial"/>
        <family val="2"/>
      </rPr>
      <t>W,S</t>
    </r>
    <r>
      <rPr>
        <sz val="10"/>
        <rFont val="Arial"/>
        <family val="2"/>
      </rPr>
      <t>) α</t>
    </r>
    <r>
      <rPr>
        <vertAlign val="subscript"/>
        <sz val="10"/>
        <rFont val="Arial"/>
        <family val="2"/>
      </rPr>
      <t>2</t>
    </r>
  </si>
  <si>
    <r>
      <t>α</t>
    </r>
    <r>
      <rPr>
        <vertAlign val="subscript"/>
        <sz val="10"/>
        <rFont val="Arial"/>
        <family val="2"/>
      </rPr>
      <t>W,G</t>
    </r>
    <r>
      <rPr>
        <sz val="10"/>
        <rFont val="Arial"/>
        <family val="2"/>
      </rPr>
      <t xml:space="preserve"> =</t>
    </r>
  </si>
  <si>
    <r>
      <t>Deckungsanteil α</t>
    </r>
    <r>
      <rPr>
        <vertAlign val="subscript"/>
        <sz val="10"/>
        <rFont val="Arial"/>
        <family val="2"/>
      </rPr>
      <t>2</t>
    </r>
  </si>
  <si>
    <t>Gas/Ölkessel</t>
  </si>
  <si>
    <t>Dezentrale KWK</t>
  </si>
  <si>
    <t>El. Heizungs-Wärmepumpe (ohne elektrische Ergänzungsheizung)</t>
  </si>
  <si>
    <t>El. Heizungs-Wärmepumpe (mit elektrischer Ergänzungsheizung)</t>
  </si>
  <si>
    <r>
      <t xml:space="preserve">Elektro-Abluft-Trinkwasser-Wärmepumpe </t>
    </r>
    <r>
      <rPr>
        <vertAlign val="superscript"/>
        <sz val="10"/>
        <rFont val="Arial"/>
        <family val="2"/>
      </rPr>
      <t>1</t>
    </r>
  </si>
  <si>
    <r>
      <t xml:space="preserve">Elektro-Luft-Trinkwasser-Wärmepumpe </t>
    </r>
    <r>
      <rPr>
        <vertAlign val="superscript"/>
        <sz val="10"/>
        <rFont val="Arial"/>
        <family val="2"/>
      </rPr>
      <t>2</t>
    </r>
  </si>
  <si>
    <t>Elektro-Tagesspeicher (Wohnungszentral)</t>
  </si>
  <si>
    <t>Durchlauferhitzer ohne dezentralen Kleinspeicher</t>
  </si>
  <si>
    <t>Durchlauferhitzer und dezentraler Kleinspeicher</t>
  </si>
  <si>
    <t>Zusatzheizung</t>
  </si>
  <si>
    <r>
      <t>α</t>
    </r>
    <r>
      <rPr>
        <vertAlign val="subscript"/>
        <sz val="10"/>
        <rFont val="Arial"/>
        <family val="2"/>
      </rPr>
      <t>W,Z</t>
    </r>
    <r>
      <rPr>
        <sz val="10"/>
        <rFont val="Arial"/>
        <family val="2"/>
      </rPr>
      <t xml:space="preserve"> = (1 - α</t>
    </r>
    <r>
      <rPr>
        <vertAlign val="subscript"/>
        <sz val="10"/>
        <rFont val="Arial"/>
        <family val="2"/>
      </rPr>
      <t>W,S</t>
    </r>
    <r>
      <rPr>
        <sz val="10"/>
        <rFont val="Arial"/>
        <family val="2"/>
      </rPr>
      <t xml:space="preserve"> - α</t>
    </r>
    <r>
      <rPr>
        <vertAlign val="subscript"/>
        <sz val="10"/>
        <rFont val="Arial"/>
        <family val="2"/>
      </rPr>
      <t>W,G</t>
    </r>
    <r>
      <rPr>
        <sz val="10"/>
        <rFont val="Arial"/>
        <family val="2"/>
      </rPr>
      <t>)</t>
    </r>
  </si>
  <si>
    <r>
      <t>α</t>
    </r>
    <r>
      <rPr>
        <vertAlign val="subscript"/>
        <sz val="10"/>
        <rFont val="Arial"/>
        <family val="2"/>
      </rPr>
      <t>W,Z</t>
    </r>
    <r>
      <rPr>
        <sz val="10"/>
        <rFont val="Arial"/>
        <family val="2"/>
      </rPr>
      <t xml:space="preserve"> =</t>
    </r>
  </si>
  <si>
    <r>
      <t>α</t>
    </r>
    <r>
      <rPr>
        <vertAlign val="subscript"/>
        <sz val="10"/>
        <rFont val="Arial"/>
        <family val="2"/>
      </rPr>
      <t>ges</t>
    </r>
    <r>
      <rPr>
        <sz val="10"/>
        <rFont val="Arial"/>
        <family val="2"/>
      </rPr>
      <t xml:space="preserve"> = 1</t>
    </r>
  </si>
  <si>
    <r>
      <t>1</t>
    </r>
    <r>
      <rPr>
        <sz val="10"/>
        <rFont val="Arial"/>
        <family val="2"/>
      </rPr>
      <t xml:space="preserve"> Elektro-Abluft/Zuluft-Trinkwasser-Wärmepumpe mit und ohne Wärmeübertrager (Betrieb in Kombination mit einer zentralen Wohnungslüftungsanlage)</t>
    </r>
  </si>
  <si>
    <r>
      <t>2</t>
    </r>
    <r>
      <rPr>
        <sz val="10"/>
        <rFont val="Arial"/>
        <family val="2"/>
      </rPr>
      <t xml:space="preserve"> Betrieb außerhalb der thermischen Gebäudehülle mit Kellerluft. 0,95 darf nur verwendet werden, wenn die Kellerraum-Grundfläche 10 % oder mehr der Gebäudenutzfläche beträgt. </t>
    </r>
  </si>
  <si>
    <t>Tabelle C.1-4b:</t>
  </si>
  <si>
    <r>
      <t>Aufwandszahlen e</t>
    </r>
    <r>
      <rPr>
        <vertAlign val="subscript"/>
        <sz val="10"/>
        <rFont val="Arial"/>
        <family val="2"/>
      </rPr>
      <t>TW,g</t>
    </r>
    <r>
      <rPr>
        <sz val="10"/>
        <rFont val="Arial"/>
        <family val="2"/>
      </rPr>
      <t xml:space="preserve"> und Hilfsenergie q</t>
    </r>
    <r>
      <rPr>
        <vertAlign val="subscript"/>
        <sz val="10"/>
        <rFont val="Arial"/>
        <family val="2"/>
      </rPr>
      <t>TW,g,HE</t>
    </r>
    <r>
      <rPr>
        <sz val="10"/>
        <rFont val="Arial"/>
        <family val="2"/>
      </rPr>
      <t xml:space="preserve"> der Trinkwassererwärmung für Heizkessel</t>
    </r>
  </si>
  <si>
    <t>Aufwandszahl</t>
  </si>
  <si>
    <r>
      <t>e</t>
    </r>
    <r>
      <rPr>
        <vertAlign val="subscript"/>
        <sz val="10"/>
        <rFont val="Arial"/>
        <family val="2"/>
      </rPr>
      <t>TW,g</t>
    </r>
    <r>
      <rPr>
        <sz val="10"/>
        <rFont val="Arial"/>
        <family val="2"/>
      </rPr>
      <t xml:space="preserve"> [-]</t>
    </r>
  </si>
  <si>
    <r>
      <t>q</t>
    </r>
    <r>
      <rPr>
        <vertAlign val="subscript"/>
        <sz val="10"/>
        <rFont val="Arial"/>
        <family val="2"/>
      </rPr>
      <t>TW,g,HE</t>
    </r>
    <r>
      <rPr>
        <sz val="10"/>
        <rFont val="Arial"/>
        <family val="2"/>
      </rPr>
      <t xml:space="preserve"> [kWh/(m²a)]</t>
    </r>
  </si>
  <si>
    <t>Konstant-</t>
  </si>
  <si>
    <t>Nieder-</t>
  </si>
  <si>
    <t>Brenn-</t>
  </si>
  <si>
    <t>Kombi-</t>
  </si>
  <si>
    <t>andere</t>
  </si>
  <si>
    <t>temperatur-</t>
  </si>
  <si>
    <t>wert-</t>
  </si>
  <si>
    <r>
      <t xml:space="preserve">kessel </t>
    </r>
    <r>
      <rPr>
        <vertAlign val="superscript"/>
        <sz val="10"/>
        <rFont val="Arial"/>
        <family val="2"/>
      </rPr>
      <t>12</t>
    </r>
  </si>
  <si>
    <t>kessel</t>
  </si>
  <si>
    <t>Kessel</t>
  </si>
  <si>
    <t>Kessel (Öl</t>
  </si>
  <si>
    <t>NT</t>
  </si>
  <si>
    <t>Brennwert</t>
  </si>
  <si>
    <t>und Gas)</t>
  </si>
  <si>
    <t>verbessert</t>
  </si>
  <si>
    <t>DL/KSp*</t>
  </si>
  <si>
    <t>1,27/1,41</t>
  </si>
  <si>
    <t>1,23/1,36</t>
  </si>
  <si>
    <t>1,22/1,32</t>
  </si>
  <si>
    <t>1,19/1,28</t>
  </si>
  <si>
    <t>1,20/1,27</t>
  </si>
  <si>
    <t>1,16/1,24</t>
  </si>
  <si>
    <t>1,17/1,22</t>
  </si>
  <si>
    <t>1,14/1,19</t>
  </si>
  <si>
    <t>1,15/1,18</t>
  </si>
  <si>
    <t>1,11/1,15</t>
  </si>
  <si>
    <t>*) DL: Kessel mit integrierter Trinkwassererwärmung nach dem Durchlaufprinzip mit Wärmeaustuacher (V &lt; 2l)</t>
  </si>
  <si>
    <t xml:space="preserve">   KSp: Kessel mit integrierter Trinkwassererwärmung nach dem Durchlaufprinzip mit Kleinspeicher (2 &lt; V &lt; 10l)</t>
  </si>
  <si>
    <r>
      <t>12)</t>
    </r>
    <r>
      <rPr>
        <sz val="10"/>
        <rFont val="Arial"/>
        <family val="2"/>
      </rPr>
      <t xml:space="preserve"> Kombikessel werden ohne externen, zusätzlichen Trinkwasserspeicher nach Kapitel 5.1.3 bzw. C.1.3 betrieben.</t>
    </r>
  </si>
  <si>
    <t>Tabelle C.1-4c:</t>
  </si>
  <si>
    <r>
      <t>Aufwandszahlen e</t>
    </r>
    <r>
      <rPr>
        <vertAlign val="subscript"/>
        <sz val="10"/>
        <rFont val="Arial"/>
        <family val="2"/>
      </rPr>
      <t>TW,g</t>
    </r>
    <r>
      <rPr>
        <sz val="10"/>
        <rFont val="Arial"/>
        <family val="2"/>
      </rPr>
      <t xml:space="preserve"> und Hilfsenergie q</t>
    </r>
    <r>
      <rPr>
        <vertAlign val="subscript"/>
        <sz val="10"/>
        <rFont val="Arial"/>
        <family val="2"/>
      </rPr>
      <t>TW,g,HE</t>
    </r>
    <r>
      <rPr>
        <sz val="10"/>
        <rFont val="Arial"/>
        <family val="2"/>
      </rPr>
      <t xml:space="preserve"> der Trinkwassererwärmung für Speicherwassererwärmer</t>
    </r>
  </si>
  <si>
    <r>
      <t xml:space="preserve">1,22 </t>
    </r>
    <r>
      <rPr>
        <vertAlign val="superscript"/>
        <sz val="10"/>
        <rFont val="Arial"/>
        <family val="2"/>
      </rPr>
      <t>13</t>
    </r>
  </si>
  <si>
    <r>
      <t>13)</t>
    </r>
    <r>
      <rPr>
        <sz val="10"/>
        <rFont val="Arial"/>
        <family val="2"/>
      </rPr>
      <t xml:space="preserve"> = Mindestanforderung nach prEN 89 Stand 1997 (84% Wirkungsgrad)</t>
    </r>
  </si>
  <si>
    <t>Tabelle C.1-4d:</t>
  </si>
  <si>
    <r>
      <t>Aufwandszahlen e</t>
    </r>
    <r>
      <rPr>
        <vertAlign val="subscript"/>
        <sz val="10"/>
        <rFont val="Arial"/>
        <family val="2"/>
      </rPr>
      <t>TW,g</t>
    </r>
    <r>
      <rPr>
        <sz val="10"/>
        <rFont val="Arial"/>
        <family val="2"/>
      </rPr>
      <t xml:space="preserve"> und Hilfsenergie q</t>
    </r>
    <r>
      <rPr>
        <vertAlign val="subscript"/>
        <sz val="10"/>
        <rFont val="Arial"/>
        <family val="2"/>
      </rPr>
      <t>TW,g,HE</t>
    </r>
    <r>
      <rPr>
        <sz val="10"/>
        <rFont val="Arial"/>
        <family val="2"/>
      </rPr>
      <t xml:space="preserve"> der Trinkwassererwärmung für Elektro-Systeme</t>
    </r>
  </si>
  <si>
    <t>Durchlauferhitzer, Speicher</t>
  </si>
  <si>
    <t>Heizungswärmepumpe Wasser/Wasser</t>
  </si>
  <si>
    <r>
      <t>0,8⋅A</t>
    </r>
    <r>
      <rPr>
        <vertAlign val="subscript"/>
        <sz val="10"/>
        <rFont val="Arial"/>
        <family val="2"/>
      </rPr>
      <t>N</t>
    </r>
    <r>
      <rPr>
        <vertAlign val="superscript"/>
        <sz val="10"/>
        <rFont val="Arial"/>
        <family val="2"/>
      </rPr>
      <t>-0,1</t>
    </r>
  </si>
  <si>
    <t>Heizungswärmepumpe Erdreich/Wasser</t>
  </si>
  <si>
    <r>
      <t>0,5⋅A</t>
    </r>
    <r>
      <rPr>
        <vertAlign val="subscript"/>
        <sz val="10"/>
        <rFont val="Arial"/>
        <family val="2"/>
      </rPr>
      <t>N</t>
    </r>
    <r>
      <rPr>
        <vertAlign val="superscript"/>
        <sz val="10"/>
        <rFont val="Arial"/>
        <family val="2"/>
      </rPr>
      <t>-0,1</t>
    </r>
  </si>
  <si>
    <t>Heizungswärmepumpe Luft/Wasser</t>
  </si>
  <si>
    <t>Heizungswärmepumpe Abluft/Wasser</t>
  </si>
  <si>
    <t>Trinkwasserwärmepumpe Abluft</t>
  </si>
  <si>
    <t>Trinkwasserwärmepumpe Abluft/Zuluft ohne WÜT</t>
  </si>
  <si>
    <r>
      <t xml:space="preserve">Trinkwasserwärmepumpe Abluft/Zuluft mit WÜT, </t>
    </r>
    <r>
      <rPr>
        <sz val="10"/>
        <rFont val="Symbol"/>
        <family val="1"/>
        <charset val="2"/>
      </rPr>
      <t>h</t>
    </r>
    <r>
      <rPr>
        <vertAlign val="subscript"/>
        <sz val="10"/>
        <rFont val="Arial"/>
        <family val="2"/>
      </rPr>
      <t>WRG</t>
    </r>
    <r>
      <rPr>
        <sz val="10"/>
        <rFont val="Arial"/>
        <family val="2"/>
      </rPr>
      <t>=0,6</t>
    </r>
  </si>
  <si>
    <r>
      <t xml:space="preserve">Trinkwasserwärmepumpe Abluft/Zuluft mit WÜT, </t>
    </r>
    <r>
      <rPr>
        <sz val="10"/>
        <rFont val="Symbol"/>
        <family val="1"/>
        <charset val="2"/>
      </rPr>
      <t>h</t>
    </r>
    <r>
      <rPr>
        <vertAlign val="subscript"/>
        <sz val="10"/>
        <rFont val="Arial"/>
        <family val="2"/>
      </rPr>
      <t>WRG</t>
    </r>
    <r>
      <rPr>
        <sz val="10"/>
        <rFont val="Arial"/>
        <family val="2"/>
      </rPr>
      <t>=0,8</t>
    </r>
  </si>
  <si>
    <t>Trinkwasserwärmepumpe Kellerluft</t>
  </si>
  <si>
    <t>Tabelle C.1-4e:</t>
  </si>
  <si>
    <r>
      <t>Aufwandszahlen e</t>
    </r>
    <r>
      <rPr>
        <vertAlign val="subscript"/>
        <sz val="10"/>
        <rFont val="Arial"/>
        <family val="2"/>
      </rPr>
      <t>TW,g</t>
    </r>
    <r>
      <rPr>
        <sz val="10"/>
        <rFont val="Arial"/>
        <family val="2"/>
      </rPr>
      <t xml:space="preserve"> und Hilfsenergie q</t>
    </r>
    <r>
      <rPr>
        <vertAlign val="subscript"/>
        <sz val="10"/>
        <rFont val="Arial"/>
        <family val="2"/>
      </rPr>
      <t>TW,g,HE</t>
    </r>
    <r>
      <rPr>
        <sz val="10"/>
        <rFont val="Arial"/>
        <family val="2"/>
      </rPr>
      <t xml:space="preserve"> der Trinkwassererwärmung für Sonstige Systeme</t>
    </r>
  </si>
  <si>
    <r>
      <t>Hilfsenergie für solare Trinkwassererwärmung q</t>
    </r>
    <r>
      <rPr>
        <vertAlign val="subscript"/>
        <sz val="10"/>
        <rFont val="Arial"/>
        <family val="2"/>
      </rPr>
      <t>TW,g,HE,sol</t>
    </r>
    <r>
      <rPr>
        <sz val="10"/>
        <rFont val="Arial"/>
        <family val="2"/>
      </rPr>
      <t xml:space="preserve"> in [kWh/(m²a)]</t>
    </r>
  </si>
  <si>
    <r>
      <t>Deckungsanteil der Solaranlage α</t>
    </r>
    <r>
      <rPr>
        <vertAlign val="subscript"/>
        <sz val="10"/>
        <rFont val="Arial"/>
        <family val="2"/>
      </rPr>
      <t>TW,sol</t>
    </r>
    <r>
      <rPr>
        <sz val="10"/>
        <rFont val="Arial"/>
        <family val="2"/>
      </rPr>
      <t xml:space="preserve"> in [-]</t>
    </r>
  </si>
  <si>
    <t xml:space="preserve"> - siehe Blatt "Technik"</t>
  </si>
  <si>
    <t>Wärmeschutz und Energie-Einsparung in Gebäuden - Teil 4: Wärme- und feuchteschutztechnische Bemessungswerte</t>
  </si>
  <si>
    <t>Tabelle 1 - Bemessungswerte der Wärmeleitfähigkeit und Richtwerte der Wasserdampf- Diffusionswiderstandszahlen</t>
  </si>
  <si>
    <t>Tabelle 2 - Zeile 5 von Tabelle 1 für Wärmedämmstoffe nach harmonisierten Europäischen Normen</t>
  </si>
  <si>
    <t>Baustoffe und Bauprodukte - Wärme- und feuchtetechnische Eigenschaften - Tabellierte Bemessungswerte und Verfahren zur Bestimmung der wärmeschutztechnischen Nenn- und Bemessungswerte</t>
  </si>
  <si>
    <t>Tabelle 3 - Wärmeschutztechnische Bemessungswerte für Baustoffe, die gewöhnlich bei Gebäuden zur Anwendung kommen</t>
  </si>
  <si>
    <t>Bauteile - Wärmedurchlasswiderstand und Wärmedurchgangskoeffizient - Berechnungsverfahren</t>
  </si>
  <si>
    <t>Tabelle 1 - Konventionelle Wärmeübergangswiderstände</t>
  </si>
  <si>
    <t>ANMERKUNG 1 Die angegebenen Werte sind Bemessungswerte. Für die Angabe des Wärmedurchgangskoeffizienten</t>
  </si>
  <si>
    <t>von Bauteilkomponenten und in anderen Fällen, in denen von der Richtung des Wärmestromes</t>
  </si>
  <si>
    <t>unabhängige Werte gefordert werden oder die Richtung des Wärmestromes variieren kann, wird empfohlen, die Werte</t>
  </si>
  <si>
    <t>für den horizontalen Wärmestrom zu verwenden.</t>
  </si>
  <si>
    <t>ANMERKUNG 2 Die Wärmeübergangswiderstände beziehen sich auf Oberflächen, die mit der Luft in Berührung</t>
  </si>
  <si>
    <t>sind. Der Wärmeübergangswiderstand ist nicht anwendbar, wenn die Oberfläche ein anderes Material berührt.</t>
  </si>
  <si>
    <t>Richtung des Wärmestromes</t>
  </si>
  <si>
    <t>Wärmeübergangswiderstand</t>
  </si>
  <si>
    <t>[m² K/W]</t>
  </si>
  <si>
    <t>Aufwärts</t>
  </si>
  <si>
    <t>Abwärts</t>
  </si>
  <si>
    <t>Rsi</t>
  </si>
  <si>
    <r>
      <t>innen R</t>
    </r>
    <r>
      <rPr>
        <b/>
        <vertAlign val="subscript"/>
        <sz val="9"/>
        <color theme="1"/>
        <rFont val="Arial"/>
        <family val="2"/>
      </rPr>
      <t>si</t>
    </r>
  </si>
  <si>
    <r>
      <t>außen R</t>
    </r>
    <r>
      <rPr>
        <b/>
        <vertAlign val="subscript"/>
        <sz val="9"/>
        <color theme="1"/>
        <rFont val="Arial"/>
        <family val="2"/>
      </rPr>
      <t>se</t>
    </r>
  </si>
  <si>
    <t>Tabelle 2 - Wärmedurchlasswiderstand von ruhenden Luftschichten mit Oberflächen mit hohem Emissionsgrad</t>
  </si>
  <si>
    <t>Wärmedurchlasswiderstand</t>
  </si>
  <si>
    <t>ANMERKUNG Zwischenwerte können mittels linearer Interpolation ermittelt werden.</t>
  </si>
  <si>
    <t>DIN EN ISO 6946 : 2008-04 - Tabelle 2 ruhende Luftschichten</t>
  </si>
  <si>
    <t>ISO10456 Tab3</t>
  </si>
  <si>
    <t xml:space="preserve"> nach DIN EN 13168</t>
  </si>
  <si>
    <t xml:space="preserve"> nach DIN EN 13168 (WWC) mit Mineralwolle (MW) nach DIN EN 13162</t>
  </si>
  <si>
    <t xml:space="preserve"> nach DIN EN 13168 (WWC) mit expandiertem Polystyrolschaum (EPS) nach DIN EN 13163</t>
  </si>
  <si>
    <t xml:space="preserve"> Holzwolle-Leichtbauplatten nach DIN EN 13168</t>
  </si>
  <si>
    <t>B</t>
  </si>
  <si>
    <t>lamda</t>
  </si>
  <si>
    <t>C</t>
  </si>
  <si>
    <t>Formatierung</t>
  </si>
  <si>
    <t>Anzahl Spalten</t>
  </si>
  <si>
    <t>ruhende Luftschicht</t>
  </si>
  <si>
    <t>Luftschicht</t>
  </si>
  <si>
    <t>Dicke der</t>
  </si>
  <si>
    <t>Rse</t>
  </si>
  <si>
    <t>Übersicht Quellen</t>
  </si>
  <si>
    <t>Gruppe</t>
  </si>
  <si>
    <r>
      <t xml:space="preserve">R = d / </t>
    </r>
    <r>
      <rPr>
        <sz val="9"/>
        <rFont val="Symbol"/>
        <family val="1"/>
        <charset val="2"/>
      </rPr>
      <t>l</t>
    </r>
  </si>
  <si>
    <t>1.2.4  Leichtmauermörtel</t>
  </si>
  <si>
    <t>2.2 Leicht-/Stahlleichtbeton</t>
  </si>
  <si>
    <t>(mit geschl. Gefüge)</t>
  </si>
  <si>
    <t>2.4.1 Leichtbeton nichtporig</t>
  </si>
  <si>
    <t>(mit nichtporigen Zuschlägen)</t>
  </si>
  <si>
    <t>2.4.2 Leichtbeton porig</t>
  </si>
  <si>
    <t>(mit porigen Zuschlägen)</t>
  </si>
  <si>
    <t>2.4.2.1 Leichtbeton Naturbims</t>
  </si>
  <si>
    <t>(ausschließlich unter Verwendung von Naturbims)</t>
  </si>
  <si>
    <t>2.4.2.1 Leichtbeton Blähton</t>
  </si>
  <si>
    <t>(ausschließlich unter Verwendung von Blähton</t>
  </si>
  <si>
    <t>(Ppl, mit normaler Fugendicke)</t>
  </si>
  <si>
    <t>3.1.1 Porenbeton-Bauplatten</t>
  </si>
  <si>
    <t>3.1.2 Porenbeton-Planbauplatten</t>
  </si>
  <si>
    <t>(Pppl, dünnfugig verlegt)</t>
  </si>
  <si>
    <t>4.1.1 Voll-, Hochloch-, Keramikklinker</t>
  </si>
  <si>
    <t>4.1.2 Voll-, Hochloch-, Füllziegel</t>
  </si>
  <si>
    <t>4.2  Mauerwerk Kalksandsteine</t>
  </si>
  <si>
    <t>4.4  Mauerwerk PP</t>
  </si>
  <si>
    <t>(Porenbeton-Plansteine)</t>
  </si>
  <si>
    <t>(Gruppe 1)</t>
  </si>
  <si>
    <t>(Gruppe 2)</t>
  </si>
  <si>
    <t>(aus Leichtbeton)</t>
  </si>
  <si>
    <t>(Expandierter Polystyrolschaum)</t>
  </si>
  <si>
    <t>(Extrudierter Polystyrolschaum)</t>
  </si>
  <si>
    <t>(Polyurethan-Hartschaum)</t>
  </si>
  <si>
    <t>(Phenolharz-Hartschaum)</t>
  </si>
  <si>
    <t>5.4 Polyurethan-Hartschaum</t>
  </si>
  <si>
    <t>(Mehrschichtplatten)</t>
  </si>
  <si>
    <t>5.11 Wärmedämmputz Kat. T1</t>
  </si>
  <si>
    <t>5.11 Wärmedämmputz Kat. T2</t>
  </si>
  <si>
    <t>8.8 nichtrostender Stahl, austenitisch oder austenitisch-ferritisch</t>
  </si>
  <si>
    <t>19.10 Holzfaserplatten</t>
  </si>
  <si>
    <t>(einschließlich MDF)</t>
  </si>
  <si>
    <t>19.11 Holzfaserplatten</t>
  </si>
  <si>
    <t>19.12 Holzfaserplatten</t>
  </si>
  <si>
    <t>19.13 Holzfaserplatten</t>
  </si>
  <si>
    <t>eigene Stoffwerte</t>
  </si>
  <si>
    <t>Bezeichnung</t>
  </si>
  <si>
    <t>Wärmeleit-fähigkeit</t>
  </si>
  <si>
    <t>Bemerkung</t>
  </si>
  <si>
    <t>Nr Suche</t>
  </si>
  <si>
    <t>Freie Definition von Stoffwerten (Quelle "eigene")</t>
  </si>
  <si>
    <t>3.2 Leichtbeton</t>
  </si>
  <si>
    <t xml:space="preserve">6 Holz- und Holzwerkstoffe </t>
  </si>
  <si>
    <t>5 Wärmedämmstoffe</t>
  </si>
  <si>
    <t>7 Belag, Dichtung</t>
  </si>
  <si>
    <t>8 Sonstige</t>
  </si>
  <si>
    <t>≤0,50</t>
  </si>
  <si>
    <t>≤0,56</t>
  </si>
  <si>
    <t>≤0,70</t>
  </si>
  <si>
    <t>19.9 OSB-Platten - rho 650 [0,13]</t>
  </si>
  <si>
    <t>18.2 Nutzholz - rho 500 [0,13]</t>
  </si>
  <si>
    <t>U-Wert
[W/(m²K)]</t>
  </si>
  <si>
    <t>g-Wert
[-]</t>
  </si>
  <si>
    <t>Fenster AW</t>
  </si>
  <si>
    <t>Haustür</t>
  </si>
  <si>
    <t>Fläche
brutto [m²]</t>
  </si>
  <si>
    <t>Orien-tier./Einbau</t>
  </si>
  <si>
    <r>
      <t>A = Σ A</t>
    </r>
    <r>
      <rPr>
        <b/>
        <vertAlign val="subscript"/>
        <sz val="10"/>
        <rFont val="Arial"/>
        <family val="2"/>
      </rPr>
      <t>i</t>
    </r>
    <r>
      <rPr>
        <b/>
        <sz val="10"/>
        <rFont val="Arial"/>
        <family val="2"/>
      </rPr>
      <t xml:space="preserve"> [m²] =</t>
    </r>
  </si>
  <si>
    <r>
      <t>B' = A</t>
    </r>
    <r>
      <rPr>
        <vertAlign val="subscript"/>
        <sz val="10"/>
        <rFont val="Arial"/>
        <family val="2"/>
      </rPr>
      <t>G</t>
    </r>
    <r>
      <rPr>
        <sz val="10"/>
        <rFont val="Arial"/>
        <family val="2"/>
      </rPr>
      <t xml:space="preserve"> / (0,5 * P) [m] =</t>
    </r>
  </si>
  <si>
    <t>B' &lt; 5</t>
  </si>
  <si>
    <t>5 &lt;= B' &lt;= 10</t>
  </si>
  <si>
    <t>B' &gt; 10</t>
  </si>
  <si>
    <t>Rfw &lt;= 1</t>
  </si>
  <si>
    <t>Rfw &gt; 1</t>
  </si>
  <si>
    <t>Rf</t>
  </si>
  <si>
    <t>Spalte</t>
  </si>
  <si>
    <t>B'</t>
  </si>
  <si>
    <r>
      <t>Q</t>
    </r>
    <r>
      <rPr>
        <vertAlign val="subscript"/>
        <sz val="10"/>
        <rFont val="Arial"/>
        <family val="2"/>
      </rPr>
      <t>T,M</t>
    </r>
    <r>
      <rPr>
        <sz val="10"/>
        <rFont val="Arial"/>
        <family val="2"/>
      </rPr>
      <t xml:space="preserve"> = 0,024 * H</t>
    </r>
    <r>
      <rPr>
        <vertAlign val="subscript"/>
        <sz val="10"/>
        <rFont val="Arial"/>
        <family val="2"/>
      </rPr>
      <t>T</t>
    </r>
    <r>
      <rPr>
        <sz val="10"/>
        <rFont val="Arial"/>
        <family val="2"/>
      </rPr>
      <t xml:space="preserve"> * (19 °C - θ</t>
    </r>
    <r>
      <rPr>
        <vertAlign val="subscript"/>
        <sz val="10"/>
        <rFont val="Arial"/>
        <family val="2"/>
      </rPr>
      <t>e,M</t>
    </r>
    <r>
      <rPr>
        <sz val="10"/>
        <rFont val="Arial"/>
        <family val="2"/>
      </rPr>
      <t>) * t</t>
    </r>
    <r>
      <rPr>
        <vertAlign val="subscript"/>
        <sz val="10"/>
        <rFont val="Arial"/>
        <family val="2"/>
      </rPr>
      <t>M</t>
    </r>
    <r>
      <rPr>
        <sz val="10"/>
        <rFont val="Arial"/>
        <family val="2"/>
      </rPr>
      <t xml:space="preserve"> [kWh/a] =</t>
    </r>
  </si>
  <si>
    <r>
      <t>H</t>
    </r>
    <r>
      <rPr>
        <vertAlign val="subscript"/>
        <sz val="10"/>
        <rFont val="Arial"/>
        <family val="2"/>
      </rPr>
      <t>T</t>
    </r>
    <r>
      <rPr>
        <sz val="10"/>
        <rFont val="Arial"/>
        <family val="2"/>
      </rPr>
      <t xml:space="preserve"> = Σ U</t>
    </r>
    <r>
      <rPr>
        <vertAlign val="subscript"/>
        <sz val="10"/>
        <rFont val="Arial"/>
        <family val="2"/>
      </rPr>
      <t>i</t>
    </r>
    <r>
      <rPr>
        <sz val="10"/>
        <rFont val="Arial"/>
        <family val="2"/>
      </rPr>
      <t xml:space="preserve"> * A</t>
    </r>
    <r>
      <rPr>
        <vertAlign val="subscript"/>
        <sz val="10"/>
        <rFont val="Arial"/>
        <family val="2"/>
      </rPr>
      <t>i</t>
    </r>
    <r>
      <rPr>
        <sz val="10"/>
        <rFont val="Arial"/>
        <family val="2"/>
      </rPr>
      <t xml:space="preserve"> * F</t>
    </r>
    <r>
      <rPr>
        <vertAlign val="subscript"/>
        <sz val="10"/>
        <rFont val="Arial"/>
        <family val="2"/>
      </rPr>
      <t>x,i</t>
    </r>
    <r>
      <rPr>
        <sz val="10"/>
        <rFont val="Arial"/>
        <family val="2"/>
      </rPr>
      <t xml:space="preserve"> [W/K] =</t>
    </r>
  </si>
  <si>
    <r>
      <t>H</t>
    </r>
    <r>
      <rPr>
        <vertAlign val="subscript"/>
        <sz val="10"/>
        <rFont val="Arial"/>
        <family val="2"/>
      </rPr>
      <t>T</t>
    </r>
    <r>
      <rPr>
        <sz val="10"/>
        <rFont val="Arial"/>
        <family val="2"/>
      </rPr>
      <t xml:space="preserve"> = Σ U</t>
    </r>
    <r>
      <rPr>
        <vertAlign val="subscript"/>
        <sz val="10"/>
        <rFont val="Arial"/>
        <family val="2"/>
      </rPr>
      <t>i</t>
    </r>
    <r>
      <rPr>
        <sz val="10"/>
        <rFont val="Arial"/>
        <family val="2"/>
      </rPr>
      <t xml:space="preserve"> * A</t>
    </r>
    <r>
      <rPr>
        <vertAlign val="subscript"/>
        <sz val="10"/>
        <rFont val="Arial"/>
        <family val="2"/>
      </rPr>
      <t>i</t>
    </r>
    <r>
      <rPr>
        <sz val="10"/>
        <rFont val="Arial"/>
        <family val="2"/>
      </rPr>
      <t xml:space="preserve"> * F</t>
    </r>
    <r>
      <rPr>
        <vertAlign val="subscript"/>
        <sz val="10"/>
        <rFont val="Arial"/>
        <family val="2"/>
      </rPr>
      <t>x,i</t>
    </r>
    <r>
      <rPr>
        <sz val="10"/>
        <rFont val="Arial"/>
        <family val="2"/>
      </rPr>
      <t xml:space="preserve"> + </t>
    </r>
    <r>
      <rPr>
        <sz val="10"/>
        <rFont val="Calibri"/>
        <family val="2"/>
      </rPr>
      <t>Δ</t>
    </r>
    <r>
      <rPr>
        <sz val="10"/>
        <rFont val="Arial"/>
        <family val="2"/>
      </rPr>
      <t>U</t>
    </r>
    <r>
      <rPr>
        <vertAlign val="subscript"/>
        <sz val="10"/>
        <rFont val="Arial"/>
        <family val="2"/>
      </rPr>
      <t>WB</t>
    </r>
    <r>
      <rPr>
        <sz val="10"/>
        <rFont val="Arial"/>
        <family val="2"/>
      </rPr>
      <t xml:space="preserve"> * A [W/K] =</t>
    </r>
  </si>
  <si>
    <r>
      <t>H</t>
    </r>
    <r>
      <rPr>
        <vertAlign val="subscript"/>
        <sz val="10"/>
        <rFont val="Arial"/>
        <family val="2"/>
      </rPr>
      <t>V</t>
    </r>
    <r>
      <rPr>
        <sz val="10"/>
        <rFont val="Arial"/>
        <family val="2"/>
      </rPr>
      <t xml:space="preserve"> = 0,34 Wh/(m³K) * n * V [W/K] =</t>
    </r>
  </si>
  <si>
    <r>
      <t>Q</t>
    </r>
    <r>
      <rPr>
        <vertAlign val="subscript"/>
        <sz val="10"/>
        <rFont val="Arial"/>
        <family val="2"/>
      </rPr>
      <t>V,M</t>
    </r>
    <r>
      <rPr>
        <sz val="10"/>
        <rFont val="Arial"/>
        <family val="2"/>
      </rPr>
      <t xml:space="preserve"> = 0,024 * H</t>
    </r>
    <r>
      <rPr>
        <vertAlign val="subscript"/>
        <sz val="10"/>
        <rFont val="Arial"/>
        <family val="2"/>
      </rPr>
      <t>V</t>
    </r>
    <r>
      <rPr>
        <sz val="10"/>
        <rFont val="Arial"/>
        <family val="2"/>
      </rPr>
      <t xml:space="preserve"> * (19 °C - θ</t>
    </r>
    <r>
      <rPr>
        <vertAlign val="subscript"/>
        <sz val="10"/>
        <rFont val="Arial"/>
        <family val="2"/>
      </rPr>
      <t>e,M</t>
    </r>
    <r>
      <rPr>
        <sz val="10"/>
        <rFont val="Arial"/>
        <family val="2"/>
      </rPr>
      <t>) * t</t>
    </r>
    <r>
      <rPr>
        <vertAlign val="subscript"/>
        <sz val="10"/>
        <rFont val="Arial"/>
        <family val="2"/>
      </rPr>
      <t>M</t>
    </r>
    <r>
      <rPr>
        <sz val="10"/>
        <rFont val="Arial"/>
        <family val="2"/>
      </rPr>
      <t xml:space="preserve"> [kWh/a] =</t>
    </r>
  </si>
  <si>
    <r>
      <t>Q</t>
    </r>
    <r>
      <rPr>
        <vertAlign val="subscript"/>
        <sz val="10"/>
        <color theme="1"/>
        <rFont val="Arial"/>
        <family val="2"/>
      </rPr>
      <t>s,t</t>
    </r>
    <r>
      <rPr>
        <sz val="10"/>
        <color theme="1"/>
        <rFont val="Arial"/>
        <family val="2"/>
      </rPr>
      <t xml:space="preserve"> = </t>
    </r>
    <r>
      <rPr>
        <sz val="10"/>
        <color theme="1"/>
        <rFont val="Symbol"/>
        <family val="1"/>
        <charset val="2"/>
      </rPr>
      <t>S</t>
    </r>
    <r>
      <rPr>
        <sz val="10"/>
        <color theme="1"/>
        <rFont val="Arial"/>
        <family val="2"/>
      </rPr>
      <t xml:space="preserve"> (0,024 * </t>
    </r>
    <r>
      <rPr>
        <sz val="10"/>
        <color theme="1"/>
        <rFont val="Symbol"/>
        <family val="1"/>
        <charset val="2"/>
      </rPr>
      <t>F</t>
    </r>
    <r>
      <rPr>
        <vertAlign val="subscript"/>
        <sz val="10"/>
        <color theme="1"/>
        <rFont val="Arial"/>
        <family val="2"/>
      </rPr>
      <t>s,t,Mi</t>
    </r>
    <r>
      <rPr>
        <sz val="10"/>
        <color theme="1"/>
        <rFont val="Arial"/>
        <family val="2"/>
      </rPr>
      <t xml:space="preserve"> * t</t>
    </r>
    <r>
      <rPr>
        <vertAlign val="subscript"/>
        <sz val="10"/>
        <color theme="1"/>
        <rFont val="Arial"/>
        <family val="2"/>
      </rPr>
      <t>M</t>
    </r>
    <r>
      <rPr>
        <sz val="10"/>
        <color theme="1"/>
        <rFont val="Arial"/>
        <family val="2"/>
      </rPr>
      <t>) [kWh/a] =</t>
    </r>
  </si>
  <si>
    <r>
      <t>Q</t>
    </r>
    <r>
      <rPr>
        <vertAlign val="subscript"/>
        <sz val="10"/>
        <color theme="1"/>
        <rFont val="Arial"/>
        <family val="2"/>
      </rPr>
      <t>s,op</t>
    </r>
    <r>
      <rPr>
        <sz val="10"/>
        <color theme="1"/>
        <rFont val="Arial"/>
        <family val="2"/>
      </rPr>
      <t xml:space="preserve"> = </t>
    </r>
    <r>
      <rPr>
        <sz val="10"/>
        <color theme="1"/>
        <rFont val="Symbol"/>
        <family val="1"/>
        <charset val="2"/>
      </rPr>
      <t>S</t>
    </r>
    <r>
      <rPr>
        <sz val="10"/>
        <color theme="1"/>
        <rFont val="Arial"/>
        <family val="2"/>
      </rPr>
      <t xml:space="preserve"> (0,024 * </t>
    </r>
    <r>
      <rPr>
        <sz val="10"/>
        <color theme="1"/>
        <rFont val="Symbol"/>
        <family val="1"/>
        <charset val="2"/>
      </rPr>
      <t>F</t>
    </r>
    <r>
      <rPr>
        <vertAlign val="subscript"/>
        <sz val="10"/>
        <color theme="1"/>
        <rFont val="Arial"/>
        <family val="2"/>
      </rPr>
      <t>s,o,M</t>
    </r>
    <r>
      <rPr>
        <sz val="10"/>
        <color theme="1"/>
        <rFont val="Arial"/>
        <family val="2"/>
      </rPr>
      <t xml:space="preserve"> * t</t>
    </r>
    <r>
      <rPr>
        <vertAlign val="subscript"/>
        <sz val="10"/>
        <color theme="1"/>
        <rFont val="Arial"/>
        <family val="2"/>
      </rPr>
      <t>M</t>
    </r>
    <r>
      <rPr>
        <sz val="10"/>
        <color theme="1"/>
        <rFont val="Arial"/>
        <family val="2"/>
      </rPr>
      <t>) [kWh/a] =</t>
    </r>
  </si>
  <si>
    <r>
      <t>Q</t>
    </r>
    <r>
      <rPr>
        <vertAlign val="subscript"/>
        <sz val="10"/>
        <color theme="1"/>
        <rFont val="Arial"/>
        <family val="2"/>
      </rPr>
      <t>i</t>
    </r>
    <r>
      <rPr>
        <sz val="10"/>
        <color theme="1"/>
        <rFont val="Arial"/>
        <family val="2"/>
      </rPr>
      <t xml:space="preserve"> = 0,024 * q</t>
    </r>
    <r>
      <rPr>
        <vertAlign val="subscript"/>
        <sz val="10"/>
        <color theme="1"/>
        <rFont val="Arial"/>
        <family val="2"/>
      </rPr>
      <t>i</t>
    </r>
    <r>
      <rPr>
        <sz val="10"/>
        <color theme="1"/>
        <rFont val="Arial"/>
        <family val="2"/>
      </rPr>
      <t xml:space="preserve"> * A</t>
    </r>
    <r>
      <rPr>
        <vertAlign val="subscript"/>
        <sz val="10"/>
        <color theme="1"/>
        <rFont val="Arial"/>
        <family val="2"/>
      </rPr>
      <t>N</t>
    </r>
    <r>
      <rPr>
        <sz val="10"/>
        <color theme="1"/>
        <rFont val="Arial"/>
        <family val="2"/>
      </rPr>
      <t xml:space="preserve"> * t</t>
    </r>
    <r>
      <rPr>
        <vertAlign val="subscript"/>
        <sz val="10"/>
        <color theme="1"/>
        <rFont val="Arial"/>
        <family val="2"/>
      </rPr>
      <t>M</t>
    </r>
    <r>
      <rPr>
        <sz val="10"/>
        <color theme="1"/>
        <rFont val="Arial"/>
        <family val="2"/>
      </rPr>
      <t xml:space="preserve"> [kWh/a] =</t>
    </r>
  </si>
  <si>
    <r>
      <t>Q</t>
    </r>
    <r>
      <rPr>
        <vertAlign val="subscript"/>
        <sz val="10"/>
        <rFont val="Arial"/>
        <family val="2"/>
      </rPr>
      <t>l,M</t>
    </r>
    <r>
      <rPr>
        <sz val="10"/>
        <rFont val="Arial"/>
        <family val="2"/>
      </rPr>
      <t xml:space="preserve"> = 0,024 * (H</t>
    </r>
    <r>
      <rPr>
        <vertAlign val="subscript"/>
        <sz val="10"/>
        <rFont val="Arial"/>
        <family val="2"/>
      </rPr>
      <t>T</t>
    </r>
    <r>
      <rPr>
        <sz val="10"/>
        <rFont val="Arial"/>
        <family val="2"/>
      </rPr>
      <t xml:space="preserve"> + H</t>
    </r>
    <r>
      <rPr>
        <vertAlign val="subscript"/>
        <sz val="10"/>
        <rFont val="Arial"/>
        <family val="2"/>
      </rPr>
      <t>V</t>
    </r>
    <r>
      <rPr>
        <sz val="10"/>
        <rFont val="Arial"/>
        <family val="2"/>
      </rPr>
      <t>) * (19 °C - θ</t>
    </r>
    <r>
      <rPr>
        <vertAlign val="subscript"/>
        <sz val="10"/>
        <rFont val="Arial"/>
        <family val="2"/>
      </rPr>
      <t>e,M</t>
    </r>
    <r>
      <rPr>
        <sz val="10"/>
        <rFont val="Arial"/>
        <family val="2"/>
      </rPr>
      <t>) * t</t>
    </r>
    <r>
      <rPr>
        <vertAlign val="subscript"/>
        <sz val="10"/>
        <rFont val="Arial"/>
        <family val="2"/>
      </rPr>
      <t>M</t>
    </r>
    <r>
      <rPr>
        <sz val="10"/>
        <rFont val="Arial"/>
        <family val="2"/>
      </rPr>
      <t xml:space="preserve"> [kWh/a] =</t>
    </r>
  </si>
  <si>
    <r>
      <t>gemäß DIN V 4108-6 Anhang C Q</t>
    </r>
    <r>
      <rPr>
        <vertAlign val="subscript"/>
        <sz val="10"/>
        <rFont val="Arial"/>
        <family val="2"/>
      </rPr>
      <t>l,NA,M</t>
    </r>
    <r>
      <rPr>
        <sz val="10"/>
        <rFont val="Arial"/>
        <family val="2"/>
      </rPr>
      <t xml:space="preserve"> [kWh/a] =</t>
    </r>
  </si>
  <si>
    <r>
      <t>a = a</t>
    </r>
    <r>
      <rPr>
        <vertAlign val="subscript"/>
        <sz val="10"/>
        <rFont val="Arial"/>
        <family val="2"/>
      </rPr>
      <t>0</t>
    </r>
    <r>
      <rPr>
        <sz val="10"/>
        <rFont val="Arial"/>
        <family val="2"/>
      </rPr>
      <t xml:space="preserve"> + τ / τ</t>
    </r>
    <r>
      <rPr>
        <vertAlign val="subscript"/>
        <sz val="10"/>
        <rFont val="Arial"/>
        <family val="2"/>
      </rPr>
      <t>0</t>
    </r>
    <r>
      <rPr>
        <sz val="10"/>
        <rFont val="Arial"/>
        <family val="2"/>
      </rPr>
      <t xml:space="preserve"> = 1 + (C</t>
    </r>
    <r>
      <rPr>
        <vertAlign val="subscript"/>
        <sz val="10"/>
        <rFont val="Arial"/>
        <family val="2"/>
      </rPr>
      <t>wirk,η</t>
    </r>
    <r>
      <rPr>
        <sz val="10"/>
        <rFont val="Arial"/>
        <family val="2"/>
      </rPr>
      <t xml:space="preserve"> / (H</t>
    </r>
    <r>
      <rPr>
        <vertAlign val="subscript"/>
        <sz val="10"/>
        <rFont val="Arial"/>
        <family val="2"/>
      </rPr>
      <t>T</t>
    </r>
    <r>
      <rPr>
        <sz val="10"/>
        <rFont val="Arial"/>
        <family val="2"/>
      </rPr>
      <t xml:space="preserve"> + H</t>
    </r>
    <r>
      <rPr>
        <vertAlign val="subscript"/>
        <sz val="10"/>
        <rFont val="Arial"/>
        <family val="2"/>
      </rPr>
      <t>V</t>
    </r>
    <r>
      <rPr>
        <sz val="10"/>
        <rFont val="Arial"/>
        <family val="2"/>
      </rPr>
      <t>)) / (16 h) [-] =</t>
    </r>
  </si>
  <si>
    <r>
      <t>Q</t>
    </r>
    <r>
      <rPr>
        <vertAlign val="subscript"/>
        <sz val="10"/>
        <rFont val="Arial"/>
        <family val="2"/>
      </rPr>
      <t>h</t>
    </r>
    <r>
      <rPr>
        <sz val="10"/>
        <rFont val="Arial"/>
        <family val="2"/>
      </rPr>
      <t>'' = q</t>
    </r>
    <r>
      <rPr>
        <vertAlign val="subscript"/>
        <sz val="10"/>
        <rFont val="Arial"/>
        <family val="2"/>
      </rPr>
      <t>h</t>
    </r>
    <r>
      <rPr>
        <sz val="10"/>
        <rFont val="Arial"/>
        <family val="2"/>
      </rPr>
      <t xml:space="preserve"> = Q</t>
    </r>
    <r>
      <rPr>
        <vertAlign val="subscript"/>
        <sz val="10"/>
        <rFont val="Arial"/>
        <family val="2"/>
      </rPr>
      <t>h</t>
    </r>
    <r>
      <rPr>
        <sz val="10"/>
        <rFont val="Arial"/>
        <family val="2"/>
      </rPr>
      <t xml:space="preserve"> / A</t>
    </r>
    <r>
      <rPr>
        <vertAlign val="subscript"/>
        <sz val="10"/>
        <rFont val="Arial"/>
        <family val="2"/>
      </rPr>
      <t>N</t>
    </r>
    <r>
      <rPr>
        <sz val="10"/>
        <rFont val="Arial"/>
        <family val="2"/>
      </rPr>
      <t xml:space="preserve"> [kWh/(m²a)] =</t>
    </r>
  </si>
  <si>
    <r>
      <t>H</t>
    </r>
    <r>
      <rPr>
        <vertAlign val="subscript"/>
        <sz val="10"/>
        <rFont val="Arial"/>
        <family val="2"/>
      </rPr>
      <t>T</t>
    </r>
    <r>
      <rPr>
        <sz val="10"/>
        <rFont val="Arial"/>
        <family val="2"/>
      </rPr>
      <t>'</t>
    </r>
    <r>
      <rPr>
        <vertAlign val="subscript"/>
        <sz val="10"/>
        <rFont val="Arial"/>
        <family val="2"/>
      </rPr>
      <t>vorh</t>
    </r>
    <r>
      <rPr>
        <sz val="10"/>
        <rFont val="Arial"/>
        <family val="2"/>
      </rPr>
      <t xml:space="preserve"> = H</t>
    </r>
    <r>
      <rPr>
        <vertAlign val="subscript"/>
        <sz val="10"/>
        <rFont val="Arial"/>
        <family val="2"/>
      </rPr>
      <t>T</t>
    </r>
    <r>
      <rPr>
        <sz val="10"/>
        <rFont val="Arial"/>
        <family val="2"/>
      </rPr>
      <t xml:space="preserve"> / A [W/(m²K)] =</t>
    </r>
  </si>
  <si>
    <r>
      <rPr>
        <sz val="10"/>
        <rFont val="Calibri"/>
        <family val="2"/>
      </rPr>
      <t>Δ</t>
    </r>
    <r>
      <rPr>
        <sz val="10"/>
        <rFont val="Arial"/>
        <family val="2"/>
      </rPr>
      <t>U</t>
    </r>
    <r>
      <rPr>
        <vertAlign val="subscript"/>
        <sz val="10"/>
        <rFont val="Arial"/>
        <family val="2"/>
      </rPr>
      <t>WB</t>
    </r>
    <r>
      <rPr>
        <sz val="10"/>
        <rFont val="Arial"/>
        <family val="2"/>
      </rPr>
      <t xml:space="preserve"> [W/(m²K)] =</t>
    </r>
  </si>
  <si>
    <r>
      <t>C</t>
    </r>
    <r>
      <rPr>
        <vertAlign val="subscript"/>
        <sz val="10"/>
        <rFont val="Arial"/>
        <family val="2"/>
      </rPr>
      <t>wirk,η</t>
    </r>
    <r>
      <rPr>
        <sz val="10"/>
        <rFont val="Arial"/>
        <family val="2"/>
      </rPr>
      <t>' = 50 [Wh/(m³K)]</t>
    </r>
  </si>
  <si>
    <r>
      <t>C</t>
    </r>
    <r>
      <rPr>
        <vertAlign val="subscript"/>
        <sz val="10"/>
        <rFont val="Arial"/>
        <family val="2"/>
      </rPr>
      <t>wirk,η</t>
    </r>
    <r>
      <rPr>
        <sz val="10"/>
        <rFont val="Arial"/>
        <family val="2"/>
      </rPr>
      <t>' = Eingabe [Wh/(m³K)]</t>
    </r>
  </si>
  <si>
    <r>
      <t>C</t>
    </r>
    <r>
      <rPr>
        <vertAlign val="subscript"/>
        <sz val="10"/>
        <rFont val="Arial"/>
        <family val="2"/>
      </rPr>
      <t>wirk,η</t>
    </r>
    <r>
      <rPr>
        <sz val="10"/>
        <rFont val="Arial"/>
        <family val="2"/>
      </rPr>
      <t xml:space="preserve"> = C</t>
    </r>
    <r>
      <rPr>
        <vertAlign val="subscript"/>
        <sz val="10"/>
        <rFont val="Arial"/>
        <family val="2"/>
      </rPr>
      <t>wirk,η</t>
    </r>
    <r>
      <rPr>
        <sz val="10"/>
        <rFont val="Arial"/>
        <family val="2"/>
      </rPr>
      <t xml:space="preserve"> * V</t>
    </r>
    <r>
      <rPr>
        <vertAlign val="subscript"/>
        <sz val="10"/>
        <rFont val="Arial"/>
        <family val="2"/>
      </rPr>
      <t>e</t>
    </r>
    <r>
      <rPr>
        <sz val="10"/>
        <rFont val="Arial"/>
        <family val="2"/>
      </rPr>
      <t xml:space="preserve"> [Wh/K] =</t>
    </r>
  </si>
  <si>
    <t>Volumenbezug</t>
  </si>
  <si>
    <t>absolut</t>
  </si>
  <si>
    <r>
      <t>C</t>
    </r>
    <r>
      <rPr>
        <vertAlign val="subscript"/>
        <sz val="10"/>
        <rFont val="Arial"/>
        <family val="2"/>
      </rPr>
      <t>wirk,NA</t>
    </r>
    <r>
      <rPr>
        <sz val="10"/>
        <rFont val="Arial"/>
        <family val="2"/>
      </rPr>
      <t>' = Eingabe [Wh/(m³K)]</t>
    </r>
  </si>
  <si>
    <r>
      <t>C</t>
    </r>
    <r>
      <rPr>
        <vertAlign val="subscript"/>
        <sz val="10"/>
        <rFont val="Arial"/>
        <family val="2"/>
      </rPr>
      <t>wirk,NA</t>
    </r>
    <r>
      <rPr>
        <sz val="10"/>
        <rFont val="Arial"/>
        <family val="2"/>
      </rPr>
      <t xml:space="preserve"> = C</t>
    </r>
    <r>
      <rPr>
        <vertAlign val="subscript"/>
        <sz val="10"/>
        <rFont val="Arial"/>
        <family val="2"/>
      </rPr>
      <t>wirk,NA</t>
    </r>
    <r>
      <rPr>
        <sz val="10"/>
        <rFont val="Arial"/>
        <family val="2"/>
      </rPr>
      <t xml:space="preserve"> * V</t>
    </r>
    <r>
      <rPr>
        <vertAlign val="subscript"/>
        <sz val="10"/>
        <rFont val="Arial"/>
        <family val="2"/>
      </rPr>
      <t>e</t>
    </r>
    <r>
      <rPr>
        <sz val="10"/>
        <rFont val="Arial"/>
        <family val="2"/>
      </rPr>
      <t xml:space="preserve"> [Wh/K] =</t>
    </r>
  </si>
  <si>
    <r>
      <t>C</t>
    </r>
    <r>
      <rPr>
        <vertAlign val="subscript"/>
        <sz val="10"/>
        <rFont val="Arial"/>
        <family val="2"/>
      </rPr>
      <t>wirk,NA</t>
    </r>
    <r>
      <rPr>
        <sz val="10"/>
        <rFont val="Arial"/>
        <family val="2"/>
      </rPr>
      <t>' = 12 [Wh/(m³K)]</t>
    </r>
  </si>
  <si>
    <r>
      <t>C</t>
    </r>
    <r>
      <rPr>
        <vertAlign val="subscript"/>
        <sz val="10"/>
        <rFont val="Arial"/>
        <family val="2"/>
      </rPr>
      <t>wirk,η</t>
    </r>
    <r>
      <rPr>
        <sz val="10"/>
        <rFont val="Arial"/>
        <family val="2"/>
      </rPr>
      <t>' = 15 [Wh/(m³K)]</t>
    </r>
  </si>
  <si>
    <r>
      <t>C</t>
    </r>
    <r>
      <rPr>
        <vertAlign val="subscript"/>
        <sz val="10"/>
        <rFont val="Arial"/>
        <family val="2"/>
      </rPr>
      <t>wirk,NA</t>
    </r>
    <r>
      <rPr>
        <sz val="10"/>
        <rFont val="Arial"/>
        <family val="2"/>
      </rPr>
      <t>' = 18 [Wh/(m³K)]</t>
    </r>
  </si>
  <si>
    <t>Endenergie Wärme Flächenbezug</t>
  </si>
  <si>
    <t>Endenergie Hilfsenergie Flächenbezug</t>
  </si>
  <si>
    <t>Geometrie: Eingabe und Berechnung sowie Zuordnung Bauteile</t>
  </si>
  <si>
    <t>transparente Bauteile: Eingabe U-Wert und g-Wert</t>
  </si>
  <si>
    <t>Bauteile: Eingabe und Berechnung</t>
  </si>
  <si>
    <r>
      <rPr>
        <sz val="10"/>
        <color theme="1"/>
        <rFont val="Symbol"/>
        <family val="1"/>
        <charset val="2"/>
      </rPr>
      <t>a</t>
    </r>
    <r>
      <rPr>
        <sz val="10"/>
        <color theme="1"/>
        <rFont val="Arial"/>
        <family val="2"/>
      </rPr>
      <t>-Wert
[-]</t>
    </r>
  </si>
  <si>
    <r>
      <rPr>
        <b/>
        <sz val="9"/>
        <rFont val="Symbol"/>
        <family val="1"/>
        <charset val="2"/>
      </rPr>
      <t>a</t>
    </r>
    <r>
      <rPr>
        <b/>
        <sz val="9"/>
        <rFont val="Arial"/>
        <family val="2"/>
      </rPr>
      <t>-Wert
[-]</t>
    </r>
  </si>
  <si>
    <t>Eingabe der Flächen und U-Werte hier</t>
  </si>
  <si>
    <r>
      <t>Volumen (Außenmaß) V</t>
    </r>
    <r>
      <rPr>
        <vertAlign val="subscript"/>
        <sz val="10"/>
        <color theme="1"/>
        <rFont val="Arial"/>
        <family val="2"/>
      </rPr>
      <t>e</t>
    </r>
    <r>
      <rPr>
        <sz val="10"/>
        <color theme="1"/>
        <rFont val="Arial"/>
        <family val="2"/>
      </rPr>
      <t xml:space="preserve"> [m³] =</t>
    </r>
  </si>
  <si>
    <t>Summe Hüllfläche A [m²] =</t>
  </si>
  <si>
    <r>
      <t>Rahmen F</t>
    </r>
    <r>
      <rPr>
        <vertAlign val="subscript"/>
        <sz val="9"/>
        <rFont val="Arial"/>
        <family val="2"/>
      </rPr>
      <t>F</t>
    </r>
    <r>
      <rPr>
        <sz val="9"/>
        <rFont val="Arial"/>
        <family val="2"/>
      </rPr>
      <t xml:space="preserve"> [-]
[-]</t>
    </r>
  </si>
  <si>
    <t>Zuordnung Bauteile</t>
  </si>
  <si>
    <t>ohne Fenster/Türen</t>
  </si>
  <si>
    <t xml:space="preserve">2.1.9 Kellerdecke/-innenwand zum unbeheizten Keller, Fußboden auf Erdreich, </t>
  </si>
  <si>
    <t xml:space="preserve">        Flächen des beheizten Kellers gegen Erdreich, aufgeständerter Fußboden</t>
  </si>
  <si>
    <t>OG 1</t>
  </si>
  <si>
    <t>OG 2</t>
  </si>
  <si>
    <t>OG 3</t>
  </si>
  <si>
    <t>W 11</t>
  </si>
  <si>
    <t>W 12</t>
  </si>
  <si>
    <t>AG 6</t>
  </si>
  <si>
    <t>AG 7</t>
  </si>
  <si>
    <t>Neigung</t>
  </si>
  <si>
    <t>Verwendung Blätter Bauteile und Geometrie</t>
  </si>
  <si>
    <t>Monatswerte ein-/ausblenden</t>
  </si>
  <si>
    <r>
      <t>Verschat-tung F</t>
    </r>
    <r>
      <rPr>
        <vertAlign val="subscript"/>
        <sz val="9"/>
        <rFont val="Arial"/>
        <family val="2"/>
      </rPr>
      <t>s</t>
    </r>
    <r>
      <rPr>
        <sz val="9"/>
        <rFont val="Arial"/>
        <family val="2"/>
      </rPr>
      <t xml:space="preserve"> [-]
[-]</t>
    </r>
  </si>
  <si>
    <t>Anzahl Wohneinheiten [-]</t>
  </si>
  <si>
    <t>Gebäude</t>
  </si>
  <si>
    <t>Referenz</t>
  </si>
  <si>
    <t>aktuelle Auswahl Verfahren:</t>
  </si>
  <si>
    <t>aktuelle Auswahl Musteranlage:</t>
  </si>
  <si>
    <t>2.1.12 Wärmebrückenkorrekturwert</t>
  </si>
  <si>
    <t>Übernahme Angaben/Zwischenergebnisse von oben</t>
  </si>
  <si>
    <t>beheiztes Volumen bzw. wirksames Luftvolumen</t>
  </si>
  <si>
    <t>V [m³] =</t>
  </si>
  <si>
    <t>Randbedingungen</t>
  </si>
  <si>
    <t>Außentemperatur (default -12 °C)</t>
  </si>
  <si>
    <t>Innentemperatur (default 20 °C)</t>
  </si>
  <si>
    <r>
      <rPr>
        <sz val="10"/>
        <rFont val="Symbol"/>
        <family val="1"/>
        <charset val="2"/>
      </rPr>
      <t>q</t>
    </r>
    <r>
      <rPr>
        <vertAlign val="subscript"/>
        <sz val="10"/>
        <rFont val="Arial"/>
        <family val="2"/>
      </rPr>
      <t>e</t>
    </r>
    <r>
      <rPr>
        <sz val="10"/>
        <rFont val="Arial"/>
        <family val="2"/>
      </rPr>
      <t xml:space="preserve"> [°C] =</t>
    </r>
  </si>
  <si>
    <r>
      <rPr>
        <sz val="10"/>
        <rFont val="Symbol"/>
        <family val="1"/>
        <charset val="2"/>
      </rPr>
      <t>q</t>
    </r>
    <r>
      <rPr>
        <vertAlign val="subscript"/>
        <sz val="10"/>
        <rFont val="Arial"/>
        <family val="2"/>
      </rPr>
      <t>i</t>
    </r>
    <r>
      <rPr>
        <sz val="10"/>
        <rFont val="Arial"/>
        <family val="2"/>
      </rPr>
      <t xml:space="preserve"> [°C] =</t>
    </r>
  </si>
  <si>
    <r>
      <rPr>
        <sz val="10"/>
        <rFont val="Symbol"/>
        <family val="1"/>
        <charset val="2"/>
      </rPr>
      <t>F</t>
    </r>
    <r>
      <rPr>
        <vertAlign val="subscript"/>
        <sz val="10"/>
        <rFont val="Arial"/>
        <family val="2"/>
      </rPr>
      <t>WRG</t>
    </r>
    <r>
      <rPr>
        <sz val="10"/>
        <rFont val="Arial"/>
        <family val="2"/>
      </rPr>
      <t xml:space="preserve"> [%] =</t>
    </r>
  </si>
  <si>
    <r>
      <t>Wärmerückgewinnung</t>
    </r>
    <r>
      <rPr>
        <sz val="8"/>
        <rFont val="Arial"/>
        <family val="2"/>
      </rPr>
      <t xml:space="preserve"> (&gt; 80% nicht zulässig, DIN EN 12831 Bbl 1, Kap. 3.5.1)</t>
    </r>
  </si>
  <si>
    <t>Luftdichtheit und Infiltration: Bestand,wenig dicht?</t>
  </si>
  <si>
    <t>Bauweise (siehe Abschnitt wirksame Wärmespeicherfähigkeit)</t>
  </si>
  <si>
    <r>
      <rPr>
        <sz val="10"/>
        <rFont val="Symbol"/>
        <family val="1"/>
        <charset val="2"/>
      </rPr>
      <t>f</t>
    </r>
    <r>
      <rPr>
        <vertAlign val="subscript"/>
        <sz val="10"/>
        <rFont val="Arial"/>
        <family val="2"/>
      </rPr>
      <t>T</t>
    </r>
    <r>
      <rPr>
        <sz val="10"/>
        <rFont val="Arial"/>
        <family val="2"/>
      </rPr>
      <t xml:space="preserve"> = H</t>
    </r>
    <r>
      <rPr>
        <vertAlign val="subscript"/>
        <sz val="10"/>
        <rFont val="Arial"/>
        <family val="2"/>
      </rPr>
      <t>T</t>
    </r>
    <r>
      <rPr>
        <sz val="10"/>
        <rFont val="Arial"/>
        <family val="2"/>
      </rPr>
      <t xml:space="preserve"> * (</t>
    </r>
    <r>
      <rPr>
        <sz val="10"/>
        <rFont val="Symbol"/>
        <family val="1"/>
        <charset val="2"/>
      </rPr>
      <t>q</t>
    </r>
    <r>
      <rPr>
        <vertAlign val="subscript"/>
        <sz val="10"/>
        <rFont val="Arial"/>
        <family val="2"/>
      </rPr>
      <t>i</t>
    </r>
    <r>
      <rPr>
        <sz val="10"/>
        <rFont val="Arial"/>
        <family val="2"/>
      </rPr>
      <t xml:space="preserve"> - </t>
    </r>
    <r>
      <rPr>
        <sz val="10"/>
        <rFont val="Symbol"/>
        <family val="1"/>
        <charset val="2"/>
      </rPr>
      <t>q</t>
    </r>
    <r>
      <rPr>
        <vertAlign val="subscript"/>
        <sz val="10"/>
        <rFont val="Arial"/>
        <family val="2"/>
      </rPr>
      <t>e</t>
    </r>
    <r>
      <rPr>
        <sz val="10"/>
        <rFont val="Arial"/>
        <family val="2"/>
      </rPr>
      <t>) [W] =</t>
    </r>
  </si>
  <si>
    <t>Berechnung</t>
  </si>
  <si>
    <t>Konstanten</t>
  </si>
  <si>
    <r>
      <t>n</t>
    </r>
    <r>
      <rPr>
        <vertAlign val="subscript"/>
        <sz val="10"/>
        <rFont val="Arial"/>
        <family val="2"/>
      </rPr>
      <t>L</t>
    </r>
    <r>
      <rPr>
        <sz val="10"/>
        <rFont val="Arial"/>
        <family val="2"/>
      </rPr>
      <t xml:space="preserve"> [h</t>
    </r>
    <r>
      <rPr>
        <vertAlign val="superscript"/>
        <sz val="10"/>
        <rFont val="Arial"/>
        <family val="2"/>
      </rPr>
      <t>-1</t>
    </r>
    <r>
      <rPr>
        <sz val="10"/>
        <rFont val="Arial"/>
        <family val="2"/>
      </rPr>
      <t>] =</t>
    </r>
  </si>
  <si>
    <t>hygienischer Mindest-Luftwechsel</t>
  </si>
  <si>
    <t>spezifische Wärmekapazität Luft</t>
  </si>
  <si>
    <t>Annahmen: moderate Abschirmung; eine dem Wind ausgesetzte Fläche</t>
  </si>
  <si>
    <r>
      <t>n</t>
    </r>
    <r>
      <rPr>
        <vertAlign val="subscript"/>
        <sz val="10"/>
        <rFont val="Arial"/>
        <family val="2"/>
      </rPr>
      <t>inf</t>
    </r>
    <r>
      <rPr>
        <sz val="10"/>
        <rFont val="Arial"/>
        <family val="2"/>
      </rPr>
      <t xml:space="preserve"> [h</t>
    </r>
    <r>
      <rPr>
        <vertAlign val="superscript"/>
        <sz val="10"/>
        <rFont val="Arial"/>
        <family val="2"/>
      </rPr>
      <t>-1</t>
    </r>
    <r>
      <rPr>
        <sz val="10"/>
        <rFont val="Arial"/>
        <family val="2"/>
      </rPr>
      <t>] =</t>
    </r>
  </si>
  <si>
    <t>Monatswerte - Zwischenergebnisse Heizwärmebedarf</t>
  </si>
  <si>
    <r>
      <t>A</t>
    </r>
    <r>
      <rPr>
        <vertAlign val="subscript"/>
        <sz val="10"/>
        <rFont val="Arial"/>
        <family val="2"/>
      </rPr>
      <t>N</t>
    </r>
    <r>
      <rPr>
        <sz val="10"/>
        <rFont val="Arial"/>
        <family val="2"/>
      </rPr>
      <t xml:space="preserve"> [m²] =</t>
    </r>
  </si>
  <si>
    <r>
      <rPr>
        <sz val="10"/>
        <rFont val="Symbol"/>
        <family val="1"/>
        <charset val="2"/>
      </rPr>
      <t>f</t>
    </r>
    <r>
      <rPr>
        <vertAlign val="subscript"/>
        <sz val="10"/>
        <rFont val="Arial"/>
        <family val="2"/>
      </rPr>
      <t>HL</t>
    </r>
    <r>
      <rPr>
        <sz val="10"/>
        <rFont val="Arial"/>
        <family val="2"/>
      </rPr>
      <t xml:space="preserve"> = </t>
    </r>
    <r>
      <rPr>
        <sz val="10"/>
        <rFont val="Symbol"/>
        <family val="1"/>
        <charset val="2"/>
      </rPr>
      <t>f</t>
    </r>
    <r>
      <rPr>
        <vertAlign val="subscript"/>
        <sz val="10"/>
        <rFont val="Arial"/>
        <family val="2"/>
      </rPr>
      <t>T</t>
    </r>
    <r>
      <rPr>
        <sz val="10"/>
        <rFont val="Arial"/>
        <family val="2"/>
      </rPr>
      <t xml:space="preserve"> + </t>
    </r>
    <r>
      <rPr>
        <sz val="10"/>
        <rFont val="Symbol"/>
        <family val="1"/>
        <charset val="2"/>
      </rPr>
      <t>f</t>
    </r>
    <r>
      <rPr>
        <vertAlign val="subscript"/>
        <sz val="10"/>
        <rFont val="Arial"/>
        <family val="2"/>
      </rPr>
      <t>L</t>
    </r>
    <r>
      <rPr>
        <sz val="10"/>
        <rFont val="Arial"/>
        <family val="2"/>
      </rPr>
      <t xml:space="preserve"> [W] =</t>
    </r>
  </si>
  <si>
    <r>
      <t>Luftwechsel Infiltration</t>
    </r>
    <r>
      <rPr>
        <sz val="8"/>
        <rFont val="Arial"/>
        <family val="2"/>
      </rPr>
      <t xml:space="preserve"> (abh. von Lüftungsart und Luftdichtheit)</t>
    </r>
  </si>
  <si>
    <r>
      <t xml:space="preserve">Transmissionsverlust </t>
    </r>
    <r>
      <rPr>
        <b/>
        <sz val="10"/>
        <rFont val="Symbol"/>
        <family val="1"/>
        <charset val="2"/>
      </rPr>
      <t>f</t>
    </r>
    <r>
      <rPr>
        <b/>
        <vertAlign val="subscript"/>
        <sz val="10"/>
        <rFont val="Arial"/>
        <family val="2"/>
      </rPr>
      <t>T</t>
    </r>
    <r>
      <rPr>
        <b/>
        <sz val="10"/>
        <rFont val="Arial"/>
        <family val="2"/>
      </rPr>
      <t xml:space="preserve"> </t>
    </r>
  </si>
  <si>
    <r>
      <t xml:space="preserve">Heizlast </t>
    </r>
    <r>
      <rPr>
        <b/>
        <sz val="10"/>
        <rFont val="Symbol"/>
        <family val="1"/>
        <charset val="2"/>
      </rPr>
      <t>f</t>
    </r>
    <r>
      <rPr>
        <b/>
        <vertAlign val="subscript"/>
        <sz val="10"/>
        <rFont val="Arial"/>
        <family val="2"/>
      </rPr>
      <t>HL</t>
    </r>
    <r>
      <rPr>
        <b/>
        <sz val="10"/>
        <rFont val="Arial"/>
        <family val="2"/>
      </rPr>
      <t xml:space="preserve"> </t>
    </r>
    <r>
      <rPr>
        <b/>
        <sz val="8"/>
        <rFont val="Arial"/>
        <family val="2"/>
      </rPr>
      <t/>
    </r>
  </si>
  <si>
    <r>
      <t xml:space="preserve">zusätzliche Aufheizlast </t>
    </r>
    <r>
      <rPr>
        <sz val="10"/>
        <rFont val="Symbol"/>
        <family val="1"/>
        <charset val="2"/>
      </rPr>
      <t>f</t>
    </r>
    <r>
      <rPr>
        <vertAlign val="subscript"/>
        <sz val="10"/>
        <rFont val="Arial"/>
        <family val="2"/>
      </rPr>
      <t>RH</t>
    </r>
    <r>
      <rPr>
        <sz val="10"/>
        <rFont val="Arial"/>
        <family val="2"/>
      </rPr>
      <t xml:space="preserve"> </t>
    </r>
  </si>
  <si>
    <t>leicht</t>
  </si>
  <si>
    <t>schwer</t>
  </si>
  <si>
    <t>Bauart</t>
  </si>
  <si>
    <r>
      <t xml:space="preserve">spez. zusätzliche Aufheizlast </t>
    </r>
    <r>
      <rPr>
        <sz val="10"/>
        <rFont val="Symbol"/>
        <family val="1"/>
        <charset val="2"/>
      </rPr>
      <t>f</t>
    </r>
    <r>
      <rPr>
        <vertAlign val="subscript"/>
        <sz val="10"/>
        <rFont val="Arial"/>
        <family val="2"/>
      </rPr>
      <t>RH,spez</t>
    </r>
    <r>
      <rPr>
        <sz val="10"/>
        <rFont val="Arial"/>
        <family val="2"/>
      </rPr>
      <t xml:space="preserve"> </t>
    </r>
    <r>
      <rPr>
        <sz val="8"/>
        <rFont val="Arial"/>
        <family val="2"/>
      </rPr>
      <t>(abh. von WRG und Bauweise)</t>
    </r>
  </si>
  <si>
    <t>Auslegungsheizlast des Referenzgebäudes [W]</t>
  </si>
  <si>
    <r>
      <t xml:space="preserve">Auslegungsheizlast </t>
    </r>
    <r>
      <rPr>
        <b/>
        <sz val="10"/>
        <rFont val="Symbol"/>
        <family val="1"/>
        <charset val="2"/>
      </rPr>
      <t>f</t>
    </r>
    <r>
      <rPr>
        <b/>
        <sz val="10"/>
        <rFont val="Arial"/>
        <family val="2"/>
      </rPr>
      <t xml:space="preserve"> [W]</t>
    </r>
  </si>
  <si>
    <r>
      <rPr>
        <b/>
        <sz val="10"/>
        <rFont val="Symbol"/>
        <family val="1"/>
        <charset val="2"/>
      </rPr>
      <t>f</t>
    </r>
    <r>
      <rPr>
        <b/>
        <sz val="10"/>
        <rFont val="Arial"/>
        <family val="2"/>
      </rPr>
      <t xml:space="preserve"> = </t>
    </r>
    <r>
      <rPr>
        <b/>
        <sz val="10"/>
        <rFont val="Symbol"/>
        <family val="1"/>
        <charset val="2"/>
      </rPr>
      <t>f</t>
    </r>
    <r>
      <rPr>
        <b/>
        <vertAlign val="subscript"/>
        <sz val="10"/>
        <rFont val="Arial"/>
        <family val="2"/>
      </rPr>
      <t>HL</t>
    </r>
    <r>
      <rPr>
        <b/>
        <sz val="10"/>
        <rFont val="Arial"/>
        <family val="2"/>
      </rPr>
      <t xml:space="preserve"> + </t>
    </r>
    <r>
      <rPr>
        <b/>
        <sz val="10"/>
        <rFont val="Symbol"/>
        <family val="1"/>
        <charset val="2"/>
      </rPr>
      <t>f</t>
    </r>
    <r>
      <rPr>
        <b/>
        <vertAlign val="subscript"/>
        <sz val="10"/>
        <rFont val="Arial"/>
        <family val="2"/>
      </rPr>
      <t>RH</t>
    </r>
    <r>
      <rPr>
        <b/>
        <sz val="10"/>
        <rFont val="Arial"/>
        <family val="2"/>
      </rPr>
      <t xml:space="preserve"> [W] =</t>
    </r>
  </si>
  <si>
    <t>Bestand wenig dicht</t>
  </si>
  <si>
    <r>
      <rPr>
        <sz val="10"/>
        <rFont val="Symbol"/>
        <family val="1"/>
        <charset val="2"/>
      </rPr>
      <t>f</t>
    </r>
    <r>
      <rPr>
        <vertAlign val="subscript"/>
        <sz val="10"/>
        <rFont val="Arial"/>
        <family val="2"/>
      </rPr>
      <t>L,hyg</t>
    </r>
    <r>
      <rPr>
        <sz val="10"/>
        <rFont val="Arial"/>
        <family val="2"/>
      </rPr>
      <t xml:space="preserve"> = V * n</t>
    </r>
    <r>
      <rPr>
        <vertAlign val="subscript"/>
        <sz val="10"/>
        <rFont val="Arial"/>
        <family val="2"/>
      </rPr>
      <t>L</t>
    </r>
    <r>
      <rPr>
        <sz val="10"/>
        <rFont val="Arial"/>
        <family val="2"/>
      </rPr>
      <t xml:space="preserve"> * (1 - </t>
    </r>
    <r>
      <rPr>
        <sz val="10"/>
        <rFont val="Symbol"/>
        <family val="1"/>
        <charset val="2"/>
      </rPr>
      <t>F</t>
    </r>
    <r>
      <rPr>
        <vertAlign val="subscript"/>
        <sz val="10"/>
        <rFont val="Arial"/>
        <family val="2"/>
      </rPr>
      <t>WRG</t>
    </r>
    <r>
      <rPr>
        <sz val="10"/>
        <rFont val="Arial"/>
        <family val="2"/>
      </rPr>
      <t>) * c</t>
    </r>
    <r>
      <rPr>
        <vertAlign val="subscript"/>
        <sz val="10"/>
        <rFont val="Arial"/>
        <family val="2"/>
      </rPr>
      <t>Luft</t>
    </r>
    <r>
      <rPr>
        <sz val="10"/>
        <rFont val="Arial"/>
        <family val="2"/>
      </rPr>
      <t xml:space="preserve"> * (</t>
    </r>
    <r>
      <rPr>
        <sz val="10"/>
        <rFont val="Symbol"/>
        <family val="1"/>
        <charset val="2"/>
      </rPr>
      <t>q</t>
    </r>
    <r>
      <rPr>
        <vertAlign val="subscript"/>
        <sz val="10"/>
        <rFont val="Arial"/>
        <family val="2"/>
      </rPr>
      <t>i</t>
    </r>
    <r>
      <rPr>
        <sz val="10"/>
        <rFont val="Arial"/>
        <family val="2"/>
      </rPr>
      <t xml:space="preserve"> - </t>
    </r>
    <r>
      <rPr>
        <sz val="10"/>
        <rFont val="Symbol"/>
        <family val="1"/>
        <charset val="2"/>
      </rPr>
      <t>q</t>
    </r>
    <r>
      <rPr>
        <vertAlign val="subscript"/>
        <sz val="10"/>
        <rFont val="Arial"/>
        <family val="2"/>
      </rPr>
      <t>e</t>
    </r>
    <r>
      <rPr>
        <sz val="10"/>
        <rFont val="Arial"/>
        <family val="2"/>
      </rPr>
      <t>) [W] =</t>
    </r>
  </si>
  <si>
    <r>
      <t xml:space="preserve">Lüftungswärmeverlust hygienisch </t>
    </r>
    <r>
      <rPr>
        <sz val="10"/>
        <rFont val="Arial"/>
        <family val="2"/>
      </rPr>
      <t xml:space="preserve"> </t>
    </r>
  </si>
  <si>
    <r>
      <rPr>
        <sz val="10"/>
        <rFont val="Symbol"/>
        <family val="1"/>
        <charset val="2"/>
      </rPr>
      <t>f</t>
    </r>
    <r>
      <rPr>
        <vertAlign val="subscript"/>
        <sz val="10"/>
        <rFont val="Arial"/>
        <family val="2"/>
      </rPr>
      <t>L,inf</t>
    </r>
    <r>
      <rPr>
        <sz val="10"/>
        <rFont val="Arial"/>
        <family val="2"/>
      </rPr>
      <t xml:space="preserve"> = V * n</t>
    </r>
    <r>
      <rPr>
        <vertAlign val="subscript"/>
        <sz val="10"/>
        <rFont val="Arial"/>
        <family val="2"/>
      </rPr>
      <t>L</t>
    </r>
    <r>
      <rPr>
        <sz val="10"/>
        <rFont val="Arial"/>
        <family val="2"/>
      </rPr>
      <t xml:space="preserve"> * c</t>
    </r>
    <r>
      <rPr>
        <vertAlign val="subscript"/>
        <sz val="10"/>
        <rFont val="Arial"/>
        <family val="2"/>
      </rPr>
      <t>Luft</t>
    </r>
    <r>
      <rPr>
        <sz val="10"/>
        <rFont val="Arial"/>
        <family val="2"/>
      </rPr>
      <t xml:space="preserve"> * (</t>
    </r>
    <r>
      <rPr>
        <sz val="10"/>
        <rFont val="Symbol"/>
        <family val="1"/>
        <charset val="2"/>
      </rPr>
      <t>q</t>
    </r>
    <r>
      <rPr>
        <vertAlign val="subscript"/>
        <sz val="10"/>
        <rFont val="Arial"/>
        <family val="2"/>
      </rPr>
      <t>i</t>
    </r>
    <r>
      <rPr>
        <sz val="10"/>
        <rFont val="Arial"/>
        <family val="2"/>
      </rPr>
      <t xml:space="preserve"> - </t>
    </r>
    <r>
      <rPr>
        <sz val="10"/>
        <rFont val="Symbol"/>
        <family val="1"/>
        <charset val="2"/>
      </rPr>
      <t>q</t>
    </r>
    <r>
      <rPr>
        <vertAlign val="subscript"/>
        <sz val="10"/>
        <rFont val="Arial"/>
        <family val="2"/>
      </rPr>
      <t>e</t>
    </r>
    <r>
      <rPr>
        <sz val="10"/>
        <rFont val="Arial"/>
        <family val="2"/>
      </rPr>
      <t>) [W] =</t>
    </r>
  </si>
  <si>
    <r>
      <t xml:space="preserve">Lüftungswärmeverlust Infiltration Lüftungsanlage </t>
    </r>
    <r>
      <rPr>
        <sz val="10"/>
        <rFont val="Symbol"/>
        <family val="1"/>
        <charset val="2"/>
      </rPr>
      <t/>
    </r>
  </si>
  <si>
    <r>
      <t xml:space="preserve">Nutzfläche </t>
    </r>
    <r>
      <rPr>
        <sz val="10"/>
        <color theme="0" tint="-0.34998626667073579"/>
        <rFont val="Arial"/>
        <family val="2"/>
      </rPr>
      <t>(flächenbezogene Werte rechts im Bereich "Monatswerte")</t>
    </r>
  </si>
  <si>
    <t>Grenzwert</t>
  </si>
  <si>
    <t>5.1 Mineralwolle (MW)</t>
  </si>
  <si>
    <t>5.2 Expandierter Polystyrolschaum (EPS)</t>
  </si>
  <si>
    <t>5.3 Extrudierter Polystyrolschaum (XPS)</t>
  </si>
  <si>
    <t>5.5 Phenolharz-Hartschaum (PF)</t>
  </si>
  <si>
    <t>5.6 Schaumglas (CG)</t>
  </si>
  <si>
    <t>5.7.1 Holzwolle-Platten (WW)</t>
  </si>
  <si>
    <t>5.7.2 Holzwolle-Platten mit EPS</t>
  </si>
  <si>
    <t>5.7.2 Holzwolle-Mehrschichtplatten mit EPS</t>
  </si>
  <si>
    <t>5.7.2 Holzwolle-Platten mit MW</t>
  </si>
  <si>
    <t>5.7.2 Holzwolle-Mehrschichtplatten mit MW</t>
  </si>
  <si>
    <t>5.8 Blähperlit (EPB)</t>
  </si>
  <si>
    <t>5.9 Expandierter Kork (ICB)</t>
  </si>
  <si>
    <t>5.10 Holzfaserdämmstoff (WF)</t>
  </si>
  <si>
    <t xml:space="preserve"> nach DIN EN 13171</t>
  </si>
  <si>
    <t xml:space="preserve"> nach DIN EN 13170</t>
  </si>
  <si>
    <t xml:space="preserve"> nach DIN EN 13169</t>
  </si>
  <si>
    <t xml:space="preserve"> nach DIN EN 13167</t>
  </si>
  <si>
    <t xml:space="preserve"> nach DIN EN 13166</t>
  </si>
  <si>
    <t xml:space="preserve"> nach DIN EN 13165</t>
  </si>
  <si>
    <t xml:space="preserve"> nach DIN EN 13164</t>
  </si>
  <si>
    <t xml:space="preserve"> nach DIN EN 13163</t>
  </si>
  <si>
    <t xml:space="preserve"> nach DIN EN 13162</t>
  </si>
  <si>
    <t>5.2 Expand. Polystyrols. (EPS)</t>
  </si>
  <si>
    <t>5.7.2 Holzw.-Mehrschichtpl. mit EPS</t>
  </si>
  <si>
    <t>5.7.2 Holzw.-Mehrschichtpl. mit MW</t>
  </si>
  <si>
    <r>
      <t>c</t>
    </r>
    <r>
      <rPr>
        <vertAlign val="subscript"/>
        <sz val="10"/>
        <rFont val="Arial"/>
        <family val="2"/>
      </rPr>
      <t>Luft</t>
    </r>
    <r>
      <rPr>
        <sz val="10"/>
        <rFont val="Arial"/>
        <family val="2"/>
      </rPr>
      <t xml:space="preserve"> [Wh/(m³K)] =</t>
    </r>
  </si>
  <si>
    <r>
      <rPr>
        <sz val="10"/>
        <rFont val="Calibri"/>
        <family val="2"/>
        <scheme val="minor"/>
      </rPr>
      <t>f</t>
    </r>
    <r>
      <rPr>
        <vertAlign val="subscript"/>
        <sz val="10"/>
        <rFont val="Arial"/>
        <family val="2"/>
      </rPr>
      <t>RH,spez.</t>
    </r>
    <r>
      <rPr>
        <sz val="10"/>
        <rFont val="Arial"/>
        <family val="2"/>
      </rPr>
      <t xml:space="preserve"> [W/m²] =</t>
    </r>
  </si>
  <si>
    <r>
      <rPr>
        <sz val="10"/>
        <rFont val="Symbol"/>
        <family val="1"/>
        <charset val="2"/>
      </rPr>
      <t>f</t>
    </r>
    <r>
      <rPr>
        <vertAlign val="subscript"/>
        <sz val="10"/>
        <rFont val="Arial"/>
        <family val="2"/>
      </rPr>
      <t>RH</t>
    </r>
    <r>
      <rPr>
        <sz val="10"/>
        <rFont val="Arial"/>
        <family val="2"/>
      </rPr>
      <t xml:space="preserve"> = </t>
    </r>
    <r>
      <rPr>
        <sz val="10"/>
        <rFont val="Calibri"/>
        <family val="2"/>
        <scheme val="minor"/>
      </rPr>
      <t>f</t>
    </r>
    <r>
      <rPr>
        <vertAlign val="subscript"/>
        <sz val="10"/>
        <rFont val="Arial"/>
        <family val="2"/>
      </rPr>
      <t>RH,spez.</t>
    </r>
    <r>
      <rPr>
        <sz val="10"/>
        <rFont val="Arial"/>
        <family val="2"/>
      </rPr>
      <t xml:space="preserve"> * A</t>
    </r>
    <r>
      <rPr>
        <vertAlign val="subscript"/>
        <sz val="10"/>
        <rFont val="Arial"/>
        <family val="2"/>
      </rPr>
      <t>N</t>
    </r>
    <r>
      <rPr>
        <sz val="10"/>
        <rFont val="Arial"/>
        <family val="2"/>
      </rPr>
      <t xml:space="preserve"> [W] =</t>
    </r>
  </si>
  <si>
    <t>beheiztes Luftvolumen (Netto-Volumen)</t>
  </si>
  <si>
    <t>Außenluftwechsel</t>
  </si>
  <si>
    <r>
      <t>Annahmen: Absenk-/Aufheizzeit: 7h/1h; n</t>
    </r>
    <r>
      <rPr>
        <vertAlign val="subscript"/>
        <sz val="8"/>
        <color theme="0" tint="-0.34998626667073579"/>
        <rFont val="Calibri"/>
        <family val="2"/>
      </rPr>
      <t>Abs</t>
    </r>
    <r>
      <rPr>
        <sz val="8"/>
        <color theme="0" tint="-0.34998626667073579"/>
        <rFont val="Calibri"/>
        <family val="2"/>
        <scheme val="minor"/>
      </rPr>
      <t xml:space="preserve"> = 0,1 h</t>
    </r>
    <r>
      <rPr>
        <vertAlign val="superscript"/>
        <sz val="8"/>
        <color theme="0" tint="-0.34998626667073579"/>
        <rFont val="Calibri"/>
        <family val="2"/>
        <scheme val="minor"/>
      </rPr>
      <t>-1</t>
    </r>
    <r>
      <rPr>
        <sz val="8"/>
        <color theme="0" tint="-0.34998626667073579"/>
        <rFont val="Calibri"/>
        <family val="2"/>
        <scheme val="minor"/>
      </rPr>
      <t xml:space="preserve"> bei WRG</t>
    </r>
  </si>
  <si>
    <r>
      <t>n = 0,40 + 0,15 = 0,55 [h</t>
    </r>
    <r>
      <rPr>
        <vertAlign val="superscript"/>
        <sz val="10"/>
        <rFont val="Arial"/>
        <family val="2"/>
      </rPr>
      <t>-1</t>
    </r>
    <r>
      <rPr>
        <sz val="10"/>
        <rFont val="Arial"/>
        <family val="2"/>
      </rPr>
      <t>]</t>
    </r>
  </si>
  <si>
    <r>
      <t>n = 0,35 + 0,15 = 0,50 [h</t>
    </r>
    <r>
      <rPr>
        <vertAlign val="superscript"/>
        <sz val="10"/>
        <rFont val="Arial"/>
        <family val="2"/>
      </rPr>
      <t>-1</t>
    </r>
    <r>
      <rPr>
        <sz val="10"/>
        <rFont val="Arial"/>
        <family val="2"/>
      </rPr>
      <t>]</t>
    </r>
  </si>
  <si>
    <t>KG</t>
  </si>
  <si>
    <t>1,0*0,5*5</t>
  </si>
  <si>
    <t>Wärmestrom horizontal gegen Erdreich (Rse=0)</t>
  </si>
  <si>
    <t>Wärmestrom abwärts gegen Erdreich (Rse=0)</t>
  </si>
  <si>
    <t>3.1 Beton mittlere Rohdichte</t>
  </si>
  <si>
    <t>3.2 Beton mittlere Rohdichte</t>
  </si>
  <si>
    <t>3.3 Beton mittlere Rohdichte</t>
  </si>
  <si>
    <t>3.4 Beton hohe Rohdichte</t>
  </si>
  <si>
    <t>3.5 Beton armiert (mit 1 % Stahl)</t>
  </si>
  <si>
    <t>3.6 Beton armiert (mit 2 % Stahl)</t>
  </si>
  <si>
    <t>2.1 Bitumen als Stoff</t>
  </si>
  <si>
    <t>2.2 Bitumen Membran/Bahn</t>
  </si>
  <si>
    <t>5.3 Extrud. Polystyrols. (XPS)</t>
  </si>
  <si>
    <t>Referenzklima nach DIN V 18599-10 : 2011-12, Tabelle E.6 Region Potsdam</t>
  </si>
  <si>
    <t>Mittlere Monatliche Strahlungsintensitäten und Außenlufttemperaturen für den Referenzort Potsdam</t>
  </si>
  <si>
    <t>Außenlufttemperatur</t>
  </si>
  <si>
    <t>Orientierung - Neigung</t>
  </si>
  <si>
    <t>Tage pro Monat</t>
  </si>
  <si>
    <t>Mittlere monatliche Strahlungsintensität</t>
  </si>
  <si>
    <t>Monatswerte - Klimadaten</t>
  </si>
  <si>
    <r>
      <t>Q</t>
    </r>
    <r>
      <rPr>
        <vertAlign val="subscript"/>
        <sz val="10"/>
        <rFont val="Arial"/>
        <family val="2"/>
      </rPr>
      <t>h,M</t>
    </r>
    <r>
      <rPr>
        <sz val="10"/>
        <rFont val="Arial"/>
        <family val="2"/>
      </rPr>
      <t xml:space="preserve"> = Q</t>
    </r>
    <r>
      <rPr>
        <vertAlign val="subscript"/>
        <sz val="10"/>
        <rFont val="Arial"/>
        <family val="2"/>
      </rPr>
      <t>l,NA,M</t>
    </r>
    <r>
      <rPr>
        <sz val="10"/>
        <rFont val="Arial"/>
        <family val="2"/>
      </rPr>
      <t xml:space="preserve"> - Q</t>
    </r>
    <r>
      <rPr>
        <vertAlign val="subscript"/>
        <sz val="10"/>
        <rFont val="Arial"/>
        <family val="2"/>
      </rPr>
      <t>s,op,M</t>
    </r>
    <r>
      <rPr>
        <sz val="10"/>
        <rFont val="Arial"/>
        <family val="2"/>
      </rPr>
      <t xml:space="preserve"> - </t>
    </r>
    <r>
      <rPr>
        <sz val="10"/>
        <rFont val="Symbol"/>
        <family val="1"/>
        <charset val="2"/>
      </rPr>
      <t>h</t>
    </r>
    <r>
      <rPr>
        <vertAlign val="subscript"/>
        <sz val="10"/>
        <rFont val="Arial"/>
        <family val="2"/>
      </rPr>
      <t>M</t>
    </r>
    <r>
      <rPr>
        <sz val="10"/>
        <rFont val="Arial"/>
        <family val="2"/>
      </rPr>
      <t xml:space="preserve"> * (Q</t>
    </r>
    <r>
      <rPr>
        <vertAlign val="subscript"/>
        <sz val="10"/>
        <rFont val="Arial"/>
        <family val="2"/>
      </rPr>
      <t>s,t,M</t>
    </r>
    <r>
      <rPr>
        <sz val="10"/>
        <rFont val="Arial"/>
        <family val="2"/>
      </rPr>
      <t xml:space="preserve"> + Q</t>
    </r>
    <r>
      <rPr>
        <vertAlign val="subscript"/>
        <sz val="10"/>
        <rFont val="Arial"/>
        <family val="2"/>
      </rPr>
      <t>i,M</t>
    </r>
    <r>
      <rPr>
        <sz val="10"/>
        <rFont val="Arial"/>
        <family val="2"/>
      </rPr>
      <t>) [kWh/a] =</t>
    </r>
  </si>
  <si>
    <r>
      <rPr>
        <sz val="10"/>
        <rFont val="Symbol"/>
        <family val="1"/>
        <charset val="2"/>
      </rPr>
      <t>h</t>
    </r>
    <r>
      <rPr>
        <vertAlign val="subscript"/>
        <sz val="10"/>
        <rFont val="Arial"/>
        <family val="2"/>
      </rPr>
      <t>M</t>
    </r>
    <r>
      <rPr>
        <sz val="10"/>
        <rFont val="Arial"/>
        <family val="2"/>
      </rPr>
      <t xml:space="preserve"> = (1 - </t>
    </r>
    <r>
      <rPr>
        <sz val="10"/>
        <rFont val="Symbol"/>
        <family val="1"/>
        <charset val="2"/>
      </rPr>
      <t>g</t>
    </r>
    <r>
      <rPr>
        <vertAlign val="subscript"/>
        <sz val="10"/>
        <rFont val="Arial"/>
        <family val="2"/>
      </rPr>
      <t>M</t>
    </r>
    <r>
      <rPr>
        <vertAlign val="superscript"/>
        <sz val="10"/>
        <rFont val="Arial"/>
        <family val="2"/>
      </rPr>
      <t>a</t>
    </r>
    <r>
      <rPr>
        <sz val="10"/>
        <rFont val="Arial"/>
        <family val="2"/>
      </rPr>
      <t xml:space="preserve">) / (1 - </t>
    </r>
    <r>
      <rPr>
        <sz val="10"/>
        <rFont val="Symbol"/>
        <family val="1"/>
        <charset val="2"/>
      </rPr>
      <t>g</t>
    </r>
    <r>
      <rPr>
        <vertAlign val="subscript"/>
        <sz val="10"/>
        <rFont val="Arial"/>
        <family val="2"/>
      </rPr>
      <t>M</t>
    </r>
    <r>
      <rPr>
        <vertAlign val="superscript"/>
        <sz val="10"/>
        <rFont val="Arial"/>
        <family val="2"/>
      </rPr>
      <t>a+1</t>
    </r>
    <r>
      <rPr>
        <sz val="10"/>
        <rFont val="Arial"/>
        <family val="2"/>
      </rPr>
      <t xml:space="preserve">) [-]  wenn </t>
    </r>
    <r>
      <rPr>
        <sz val="10"/>
        <rFont val="Symbol"/>
        <family val="1"/>
        <charset val="2"/>
      </rPr>
      <t>g ¹</t>
    </r>
    <r>
      <rPr>
        <sz val="10"/>
        <rFont val="Arial"/>
        <family val="2"/>
      </rPr>
      <t xml:space="preserve"> 1 </t>
    </r>
  </si>
  <si>
    <r>
      <rPr>
        <sz val="10"/>
        <rFont val="Symbol"/>
        <family val="1"/>
        <charset val="2"/>
      </rPr>
      <t>h</t>
    </r>
    <r>
      <rPr>
        <vertAlign val="subscript"/>
        <sz val="10"/>
        <rFont val="Arial"/>
        <family val="2"/>
      </rPr>
      <t>M</t>
    </r>
    <r>
      <rPr>
        <sz val="10"/>
        <rFont val="Arial"/>
        <family val="2"/>
      </rPr>
      <t xml:space="preserve"> = a / (a + 1</t>
    </r>
    <r>
      <rPr>
        <sz val="10"/>
        <rFont val="Arial"/>
        <family val="2"/>
      </rPr>
      <t xml:space="preserve">) [-]  wenn </t>
    </r>
    <r>
      <rPr>
        <sz val="10"/>
        <rFont val="Symbol"/>
        <family val="1"/>
        <charset val="2"/>
      </rPr>
      <t>g =</t>
    </r>
    <r>
      <rPr>
        <sz val="10"/>
        <rFont val="Arial"/>
        <family val="2"/>
      </rPr>
      <t xml:space="preserve"> 1</t>
    </r>
  </si>
  <si>
    <t>DIN V 18599-1 : 2011-12 - Tabelle A.1 - Primärenergiefaktoren</t>
  </si>
  <si>
    <r>
      <t xml:space="preserve">Energieträger </t>
    </r>
    <r>
      <rPr>
        <vertAlign val="superscript"/>
        <sz val="9"/>
        <color theme="1"/>
        <rFont val="Arial"/>
        <family val="2"/>
      </rPr>
      <t>a</t>
    </r>
  </si>
  <si>
    <r>
      <rPr>
        <vertAlign val="superscript"/>
        <sz val="9"/>
        <color theme="1"/>
        <rFont val="Arial"/>
        <family val="2"/>
      </rPr>
      <t>a)</t>
    </r>
    <r>
      <rPr>
        <sz val="9"/>
        <color theme="1"/>
        <rFont val="Arial"/>
        <family val="2"/>
      </rPr>
      <t xml:space="preserve"> Bezugsgröße Endenergie: Heizwert H</t>
    </r>
    <r>
      <rPr>
        <vertAlign val="subscript"/>
        <sz val="9"/>
        <color theme="1"/>
        <rFont val="Arial"/>
        <family val="2"/>
      </rPr>
      <t>i</t>
    </r>
    <r>
      <rPr>
        <sz val="9"/>
        <color theme="1"/>
        <rFont val="Arial"/>
        <family val="2"/>
      </rPr>
      <t>.</t>
    </r>
  </si>
  <si>
    <r>
      <rPr>
        <vertAlign val="superscript"/>
        <sz val="9"/>
        <color theme="1"/>
        <rFont val="Arial"/>
        <family val="2"/>
      </rPr>
      <t>b)</t>
    </r>
    <r>
      <rPr>
        <sz val="9"/>
        <color theme="1"/>
        <rFont val="Arial"/>
        <family val="2"/>
      </rPr>
      <t xml:space="preserve"> Angaben sind typisch für durchschnittliche Nah-/Fernwärme mit einem Anteil der KWK von 70 %. </t>
    </r>
  </si>
  <si>
    <r>
      <t>Primärenergiefaktoren f</t>
    </r>
    <r>
      <rPr>
        <vertAlign val="subscript"/>
        <sz val="9"/>
        <color theme="1"/>
        <rFont val="Arial"/>
        <family val="2"/>
      </rPr>
      <t>p</t>
    </r>
    <r>
      <rPr>
        <sz val="9"/>
        <color theme="1"/>
        <rFont val="Arial"/>
        <family val="2"/>
      </rPr>
      <t xml:space="preserve"> [-]</t>
    </r>
  </si>
  <si>
    <t>insgesamt A</t>
  </si>
  <si>
    <t>nicht erneuerbarer Anteil B</t>
  </si>
  <si>
    <t>Brennstoffe</t>
  </si>
  <si>
    <t>Holz</t>
  </si>
  <si>
    <t>Verdrängungsstrommix</t>
  </si>
  <si>
    <t>Solarenergie</t>
  </si>
  <si>
    <t>Umgebungswärme</t>
  </si>
  <si>
    <t>Umweltenergie</t>
  </si>
  <si>
    <t>Umgebungskälte</t>
  </si>
  <si>
    <t>Abwärme</t>
  </si>
  <si>
    <t>Heizöl EL</t>
  </si>
  <si>
    <t>Erdgas H</t>
  </si>
  <si>
    <t>Fossile Brennstoffe</t>
  </si>
  <si>
    <t>Biogene Brennstoffe</t>
  </si>
  <si>
    <t>fossiler Brennstoff</t>
  </si>
  <si>
    <r>
      <t xml:space="preserve">Nah-/Fernwärme aus KWK </t>
    </r>
    <r>
      <rPr>
        <vertAlign val="superscript"/>
        <sz val="9"/>
        <color theme="1"/>
        <rFont val="Arial"/>
        <family val="2"/>
      </rPr>
      <t>b</t>
    </r>
  </si>
  <si>
    <t>erneuerbarer Brennstoff</t>
  </si>
  <si>
    <t>Nah-/Fernwärme aus Heizwerken</t>
  </si>
  <si>
    <t>allgemeiner Strommix</t>
  </si>
  <si>
    <t>Erdwärme, Geothermie</t>
  </si>
  <si>
    <t>Abwärme innerhalb eines Gebäudes</t>
  </si>
  <si>
    <t>aus Prozessen, siehe 3.1.32</t>
  </si>
  <si>
    <t>DIN V 18599-1 : 2011-12 - Tabelle B.1 - Energieträgerabhängige Umrechnungsfaktoren</t>
  </si>
  <si>
    <t>(Umrechnungsfaktor für Endenergie)</t>
  </si>
  <si>
    <r>
      <t>Verhältnis Brennwert/Heizwert H</t>
    </r>
    <r>
      <rPr>
        <vertAlign val="subscript"/>
        <sz val="9"/>
        <color theme="1"/>
        <rFont val="Arial"/>
        <family val="2"/>
      </rPr>
      <t>s</t>
    </r>
    <r>
      <rPr>
        <sz val="9"/>
        <color theme="1"/>
        <rFont val="Arial"/>
        <family val="2"/>
      </rPr>
      <t>/H</t>
    </r>
    <r>
      <rPr>
        <vertAlign val="subscript"/>
        <sz val="9"/>
        <color theme="1"/>
        <rFont val="Arial"/>
        <family val="2"/>
      </rPr>
      <t>i</t>
    </r>
    <r>
      <rPr>
        <sz val="9"/>
        <color theme="1"/>
        <rFont val="Arial"/>
        <family val="2"/>
      </rPr>
      <t xml:space="preserve"> </t>
    </r>
  </si>
  <si>
    <r>
      <t>f</t>
    </r>
    <r>
      <rPr>
        <vertAlign val="subscript"/>
        <sz val="9"/>
        <color theme="1"/>
        <rFont val="Arial"/>
        <family val="2"/>
      </rPr>
      <t>Hs/Hi</t>
    </r>
    <r>
      <rPr>
        <sz val="9"/>
        <color theme="1"/>
        <rFont val="Arial"/>
        <family val="2"/>
      </rPr>
      <t xml:space="preserve"> [-]</t>
    </r>
  </si>
  <si>
    <t>Nah-/Fernwärme,</t>
  </si>
  <si>
    <t>Heizöl, Bioöl</t>
  </si>
  <si>
    <t>Erdgas, Biogas</t>
  </si>
  <si>
    <t>andere Energieträger</t>
  </si>
  <si>
    <t>Berichtigung DIN V 18599-1 : 2013-05</t>
  </si>
  <si>
    <t>Wind</t>
  </si>
  <si>
    <r>
      <t xml:space="preserve">Umweltenergie </t>
    </r>
    <r>
      <rPr>
        <vertAlign val="superscript"/>
        <sz val="9"/>
        <color rgb="FFFF0000"/>
        <rFont val="Arial"/>
        <family val="2"/>
      </rPr>
      <t>c</t>
    </r>
  </si>
  <si>
    <t>fp,Strom:</t>
  </si>
  <si>
    <t>fehlt</t>
  </si>
  <si>
    <t>inhomogen</t>
  </si>
  <si>
    <t>1 = Lattung horizontal 2 = Ständer vertikal</t>
  </si>
  <si>
    <t>x1</t>
  </si>
  <si>
    <t>x2</t>
  </si>
  <si>
    <t>Notiz</t>
  </si>
  <si>
    <t>alf</t>
  </si>
  <si>
    <t>si</t>
  </si>
  <si>
    <t>x</t>
  </si>
  <si>
    <t>, _</t>
  </si>
  <si>
    <t>)</t>
  </si>
  <si>
    <t>ToDo:</t>
  </si>
  <si>
    <t>tlVal9</t>
  </si>
  <si>
    <t>tlVal11</t>
  </si>
  <si>
    <t>tlVal12</t>
  </si>
  <si>
    <r>
      <rPr>
        <vertAlign val="superscript"/>
        <sz val="9"/>
        <color rgb="FFC00000"/>
        <rFont val="Arial"/>
        <family val="2"/>
      </rPr>
      <t>c)</t>
    </r>
    <r>
      <rPr>
        <sz val="9"/>
        <color rgb="FFC00000"/>
        <rFont val="Arial"/>
        <family val="2"/>
      </rPr>
      <t xml:space="preserve"> Der Primärenergiefaktor gilt  für die Umweltenergie an sich. Strom, Wärme oder Kälte, die  aus Umweltenergie generiert werden,  sind  entsprechend  den  jeweiligen  Vorschriften  (z.  B.  Verrechnung  auf  Endenergieebene  oder  mit  dem Stromverdrängungsmix) zu bewerten. </t>
    </r>
  </si>
  <si>
    <r>
      <t>Q</t>
    </r>
    <r>
      <rPr>
        <vertAlign val="subscript"/>
        <sz val="10"/>
        <color theme="1"/>
        <rFont val="Arial"/>
        <family val="2"/>
      </rPr>
      <t>TW,E,HE</t>
    </r>
  </si>
  <si>
    <r>
      <t>Q</t>
    </r>
    <r>
      <rPr>
        <vertAlign val="subscript"/>
        <sz val="10"/>
        <color theme="1"/>
        <rFont val="Arial"/>
        <family val="2"/>
      </rPr>
      <t>TW,E,HE</t>
    </r>
    <r>
      <rPr>
        <sz val="10"/>
        <color theme="1"/>
        <rFont val="Arial"/>
        <family val="2"/>
      </rPr>
      <t xml:space="preserve"> =</t>
    </r>
  </si>
  <si>
    <r>
      <t>Q</t>
    </r>
    <r>
      <rPr>
        <vertAlign val="subscript"/>
        <sz val="10"/>
        <color theme="1"/>
        <rFont val="Arial"/>
        <family val="2"/>
      </rPr>
      <t>H,E,HE</t>
    </r>
    <r>
      <rPr>
        <sz val="10"/>
        <color theme="1"/>
        <rFont val="Arial"/>
        <family val="2"/>
      </rPr>
      <t xml:space="preserve"> =</t>
    </r>
  </si>
  <si>
    <r>
      <t>Q</t>
    </r>
    <r>
      <rPr>
        <vertAlign val="subscript"/>
        <sz val="10"/>
        <color theme="1"/>
        <rFont val="Arial"/>
        <family val="2"/>
      </rPr>
      <t>L,E,HE</t>
    </r>
    <r>
      <rPr>
        <sz val="10"/>
        <color theme="1"/>
        <rFont val="Arial"/>
        <family val="2"/>
      </rPr>
      <t xml:space="preserve"> =</t>
    </r>
  </si>
  <si>
    <r>
      <t>Q</t>
    </r>
    <r>
      <rPr>
        <vertAlign val="subscript"/>
        <sz val="10"/>
        <color theme="1"/>
        <rFont val="Arial"/>
        <family val="2"/>
      </rPr>
      <t>L,E,HE</t>
    </r>
  </si>
  <si>
    <r>
      <t>Q</t>
    </r>
    <r>
      <rPr>
        <vertAlign val="subscript"/>
        <sz val="10"/>
        <color theme="1"/>
        <rFont val="Arial"/>
        <family val="2"/>
      </rPr>
      <t>H,E,HE</t>
    </r>
  </si>
  <si>
    <r>
      <t xml:space="preserve">Aufstellung </t>
    </r>
    <r>
      <rPr>
        <b/>
        <sz val="11"/>
        <color theme="1"/>
        <rFont val="Calibri"/>
        <family val="2"/>
        <scheme val="minor"/>
      </rPr>
      <t>innerhalb</t>
    </r>
    <r>
      <rPr>
        <sz val="11"/>
        <color theme="1"/>
        <rFont val="Calibri"/>
        <family val="2"/>
        <scheme val="minor"/>
      </rPr>
      <t xml:space="preserve"> der thermischen Hülle</t>
    </r>
  </si>
  <si>
    <r>
      <t xml:space="preserve">Aufstellung </t>
    </r>
    <r>
      <rPr>
        <b/>
        <sz val="11"/>
        <color theme="1"/>
        <rFont val="Calibri"/>
        <family val="2"/>
        <scheme val="minor"/>
      </rPr>
      <t>außerhalb</t>
    </r>
    <r>
      <rPr>
        <sz val="11"/>
        <color theme="1"/>
        <rFont val="Calibri"/>
        <family val="2"/>
        <scheme val="minor"/>
      </rPr>
      <t xml:space="preserve"> der thermischen Hülle</t>
    </r>
  </si>
  <si>
    <t>DIN V 4701-10:2003-08 und DIN V 4701-10/A1:2006-12 - Tabellen C.2 Lüftungsanlagen</t>
  </si>
  <si>
    <t>DIN V 4701-10:2003-08 und DIN V 4701-10/A1:2006-12 - Tabellen C.1 Trinkwarmwasseranlagen</t>
  </si>
  <si>
    <t>DIN V 4701-10:2003-08 und DIN V 4701-10/A1:2006-12 - Tabellen C.3 Heizungsanlagen</t>
  </si>
  <si>
    <t>DIN V 4701-10:2003-08 und DIN V 4701-10/A1:2006-12 - Tabellen C.4 Primärenergiefaktoren</t>
  </si>
  <si>
    <t>Tabelle C.2-1:</t>
  </si>
  <si>
    <r>
      <t>Flächenbezogener Wärmeverlust q</t>
    </r>
    <r>
      <rPr>
        <vertAlign val="subscript"/>
        <sz val="10"/>
        <rFont val="Arial"/>
        <family val="2"/>
      </rPr>
      <t>L,ce,WE</t>
    </r>
    <r>
      <rPr>
        <sz val="10"/>
        <rFont val="Arial"/>
        <family val="2"/>
      </rPr>
      <t xml:space="preserve"> für die Übergabe der Wärme im Raum</t>
    </r>
  </si>
  <si>
    <t>Art der Temperaturregelung</t>
  </si>
  <si>
    <r>
      <t>q</t>
    </r>
    <r>
      <rPr>
        <vertAlign val="subscript"/>
        <sz val="10"/>
        <rFont val="Arial"/>
        <family val="2"/>
      </rPr>
      <t>L,ce,WE</t>
    </r>
  </si>
  <si>
    <t>Bemerkungen</t>
  </si>
  <si>
    <t>Wohnungslüftungsanlagen</t>
  </si>
  <si>
    <t>mit Lufttemperaturen &gt; 20°C</t>
  </si>
  <si>
    <t>a) Anordnung der Luftauslässe</t>
  </si>
  <si>
    <t>mit Einzelraumregelung</t>
  </si>
  <si>
    <t xml:space="preserve">   überwiegend im</t>
  </si>
  <si>
    <t>ohne Einzelraumregelung, mit zentraler Vorregelung</t>
  </si>
  <si>
    <t xml:space="preserve">   Außenwandbereich</t>
  </si>
  <si>
    <t>ohne Einzelraumregelung, ohne zentraler Vorregelung</t>
  </si>
  <si>
    <t>b) Anordnung der Luftauslässe</t>
  </si>
  <si>
    <t xml:space="preserve">   Innenwandbereich</t>
  </si>
  <si>
    <t>mit Lufttemperaturen &lt; 20°C</t>
  </si>
  <si>
    <r>
      <t>1)</t>
    </r>
    <r>
      <rPr>
        <sz val="10"/>
        <rFont val="Arial"/>
        <family val="2"/>
      </rPr>
      <t xml:space="preserve"> Der Geltungsbereich umfasst sämtliche dezentralen (raumweisen)</t>
    </r>
  </si>
  <si>
    <t xml:space="preserve">   und zentralen Ausführungen von Lüftungsanlagen unabhängig von der Art der Lufterwärmung</t>
  </si>
  <si>
    <r>
      <t>2)</t>
    </r>
    <r>
      <rPr>
        <sz val="10"/>
        <rFont val="Arial"/>
        <family val="2"/>
      </rPr>
      <t xml:space="preserve"> z. B. Lüftungsanlagen mit Wärmerückgewinnung (durch Wärmeübertrager) ohne Nachheizung</t>
    </r>
  </si>
  <si>
    <t>Tabelle C.2-2:</t>
  </si>
  <si>
    <r>
      <t>Flächenbezogener Wärmeverlust der Verteilung q</t>
    </r>
    <r>
      <rPr>
        <vertAlign val="subscript"/>
        <sz val="10"/>
        <rFont val="Arial"/>
        <family val="2"/>
      </rPr>
      <t>L,d,WE</t>
    </r>
    <r>
      <rPr>
        <sz val="10"/>
        <rFont val="Arial"/>
        <family val="2"/>
      </rPr>
      <t xml:space="preserve"> in [kWh/(m²a)] für zentrale Lüftungsanlagen mit Erwärmung der Zuluft in Abhängigkeit von A</t>
    </r>
    <r>
      <rPr>
        <vertAlign val="subscript"/>
        <sz val="10"/>
        <rFont val="Arial"/>
        <family val="2"/>
      </rPr>
      <t>N</t>
    </r>
    <r>
      <rPr>
        <sz val="10"/>
        <rFont val="Arial"/>
        <family val="2"/>
      </rPr>
      <t xml:space="preserve"> und unterschiedlichen Wärmeerzeugern</t>
    </r>
  </si>
  <si>
    <t>Verlegung der Verteilleitungen außerhalb der thermischen Hülle im Dach</t>
  </si>
  <si>
    <t>Nutzfläche in [m²]</t>
  </si>
  <si>
    <t>Mit Wärmerückgewinnung durch</t>
  </si>
  <si>
    <r>
      <t>h</t>
    </r>
    <r>
      <rPr>
        <vertAlign val="subscript"/>
        <sz val="10"/>
        <rFont val="Arial"/>
        <family val="2"/>
      </rPr>
      <t>WRG</t>
    </r>
    <r>
      <rPr>
        <sz val="10"/>
        <rFont val="Arial"/>
        <family val="2"/>
      </rPr>
      <t xml:space="preserve"> = 0,6 [-]</t>
    </r>
  </si>
  <si>
    <t>Wärmeübertrager (WÜT)</t>
  </si>
  <si>
    <r>
      <t>h</t>
    </r>
    <r>
      <rPr>
        <vertAlign val="subscript"/>
        <sz val="10"/>
        <rFont val="Arial"/>
        <family val="2"/>
      </rPr>
      <t>WRG</t>
    </r>
    <r>
      <rPr>
        <sz val="10"/>
        <rFont val="Arial"/>
        <family val="2"/>
      </rPr>
      <t xml:space="preserve"> = 0,8 [-]</t>
    </r>
  </si>
  <si>
    <t>Zuluft/Abluft-Wärmepumpe</t>
  </si>
  <si>
    <t>ohne WÜT, AC-Ventilatoren</t>
  </si>
  <si>
    <t>(mit/ohne Trinkwassererwärmung,</t>
  </si>
  <si>
    <r>
      <t>h</t>
    </r>
    <r>
      <rPr>
        <vertAlign val="subscript"/>
        <sz val="10"/>
        <rFont val="Arial"/>
        <family val="2"/>
      </rPr>
      <t>WRG</t>
    </r>
    <r>
      <rPr>
        <sz val="10"/>
        <rFont val="Arial"/>
        <family val="2"/>
      </rPr>
      <t xml:space="preserve"> = 0,6 [-], AC-Ventilatoren</t>
    </r>
  </si>
  <si>
    <t>mit/ohne WÜT, ohne Heizregister)</t>
  </si>
  <si>
    <r>
      <t>h</t>
    </r>
    <r>
      <rPr>
        <vertAlign val="subscript"/>
        <sz val="10"/>
        <rFont val="Arial"/>
        <family val="2"/>
      </rPr>
      <t>WRG</t>
    </r>
    <r>
      <rPr>
        <sz val="10"/>
        <rFont val="Arial"/>
        <family val="2"/>
      </rPr>
      <t xml:space="preserve"> = 0,6 [-], DC-Ventilatoren</t>
    </r>
  </si>
  <si>
    <t>Heizregister (mit lastabhängiger Tempe-</t>
  </si>
  <si>
    <t>Auslegungstemperatur 35°C</t>
  </si>
  <si>
    <t>raturregelung, mit/ohne WÜT, mit/ohne WP)</t>
  </si>
  <si>
    <t>Auslegungstemperatur 45°C</t>
  </si>
  <si>
    <t>Verlegung der Verteilleitungen außerhalb der thermischen Hülle im Keller</t>
  </si>
  <si>
    <t>Verlegung der Verteilleitungen innerhalb der thermischen Hülle</t>
  </si>
  <si>
    <t>Tabelle C.2-3a:</t>
  </si>
  <si>
    <r>
      <t>Flächenbezogene Heizarbeit q</t>
    </r>
    <r>
      <rPr>
        <vertAlign val="subscript"/>
        <sz val="10"/>
        <rFont val="Arial"/>
        <family val="2"/>
      </rPr>
      <t>L,g,WE,WRG</t>
    </r>
    <r>
      <rPr>
        <sz val="10"/>
        <rFont val="Arial"/>
        <family val="2"/>
      </rPr>
      <t xml:space="preserve"> bei zentralen und dezentralen Lüftungsanlagen mit Wärmerückgewinnung durch Wärmeübertrager (WÜT)</t>
    </r>
  </si>
  <si>
    <r>
      <t>Anlagen-Luftwechsel n</t>
    </r>
    <r>
      <rPr>
        <vertAlign val="subscript"/>
        <sz val="10"/>
        <rFont val="Arial"/>
        <family val="2"/>
      </rPr>
      <t>A</t>
    </r>
    <r>
      <rPr>
        <sz val="10"/>
        <rFont val="Arial"/>
        <family val="2"/>
      </rPr>
      <t xml:space="preserve"> [-]</t>
    </r>
  </si>
  <si>
    <r>
      <t xml:space="preserve">WÜT mit </t>
    </r>
    <r>
      <rPr>
        <sz val="10"/>
        <rFont val="Symbol"/>
        <family val="1"/>
        <charset val="2"/>
      </rPr>
      <t>h</t>
    </r>
    <r>
      <rPr>
        <vertAlign val="subscript"/>
        <sz val="10"/>
        <rFont val="Arial"/>
        <family val="2"/>
      </rPr>
      <t>WRG</t>
    </r>
    <r>
      <rPr>
        <sz val="10"/>
        <rFont val="Arial"/>
        <family val="2"/>
      </rPr>
      <t xml:space="preserve"> = 60%</t>
    </r>
  </si>
  <si>
    <r>
      <t>q</t>
    </r>
    <r>
      <rPr>
        <vertAlign val="subscript"/>
        <sz val="10"/>
        <rFont val="Arial"/>
        <family val="2"/>
      </rPr>
      <t>L,g,WE,WRG</t>
    </r>
    <r>
      <rPr>
        <sz val="10"/>
        <rFont val="Arial"/>
        <family val="2"/>
      </rPr>
      <t xml:space="preserve"> [kWh/(m²a)]</t>
    </r>
  </si>
  <si>
    <r>
      <t xml:space="preserve">WÜT mit </t>
    </r>
    <r>
      <rPr>
        <sz val="10"/>
        <rFont val="Symbol"/>
        <family val="1"/>
        <charset val="2"/>
      </rPr>
      <t>h</t>
    </r>
    <r>
      <rPr>
        <vertAlign val="subscript"/>
        <sz val="10"/>
        <rFont val="Arial"/>
        <family val="2"/>
      </rPr>
      <t>WRG</t>
    </r>
    <r>
      <rPr>
        <sz val="10"/>
        <rFont val="Arial"/>
        <family val="2"/>
      </rPr>
      <t xml:space="preserve"> = 80%</t>
    </r>
  </si>
  <si>
    <t>Tabelle C.2-3b:</t>
  </si>
  <si>
    <r>
      <t>Flächenbezogener Hilfsenergiebedarf q</t>
    </r>
    <r>
      <rPr>
        <vertAlign val="subscript"/>
        <sz val="10"/>
        <rFont val="Arial"/>
        <family val="2"/>
      </rPr>
      <t>L,g,HE,WRG</t>
    </r>
    <r>
      <rPr>
        <sz val="10"/>
        <rFont val="Arial"/>
        <family val="2"/>
      </rPr>
      <t xml:space="preserve"> bei zentralen bzw. dezentralen Abluft/Zuluft-Lüftungsanlagen mit Wärmerückgewinnung durch Wärmeübertrager (WÜT)</t>
    </r>
  </si>
  <si>
    <r>
      <t xml:space="preserve">Zentral, 0,6 ≤ </t>
    </r>
    <r>
      <rPr>
        <sz val="10"/>
        <rFont val="Symbol"/>
        <family val="1"/>
        <charset val="2"/>
      </rPr>
      <t>h</t>
    </r>
    <r>
      <rPr>
        <vertAlign val="subscript"/>
        <sz val="10"/>
        <rFont val="Arial"/>
        <family val="2"/>
      </rPr>
      <t>WRG</t>
    </r>
    <r>
      <rPr>
        <sz val="10"/>
        <rFont val="Arial"/>
        <family val="2"/>
      </rPr>
      <t xml:space="preserve"> &lt; 0,8 und AC-Ventilatoren</t>
    </r>
  </si>
  <si>
    <r>
      <t>q</t>
    </r>
    <r>
      <rPr>
        <vertAlign val="subscript"/>
        <sz val="10"/>
        <rFont val="Arial"/>
        <family val="2"/>
      </rPr>
      <t>L,g,HE,WRG</t>
    </r>
    <r>
      <rPr>
        <sz val="10"/>
        <rFont val="Arial"/>
        <family val="2"/>
      </rPr>
      <t xml:space="preserve"> [kWh/(m²a)]</t>
    </r>
  </si>
  <si>
    <r>
      <t xml:space="preserve">Zentral, 0,6 ≤ </t>
    </r>
    <r>
      <rPr>
        <sz val="10"/>
        <rFont val="Symbol"/>
        <family val="1"/>
        <charset val="2"/>
      </rPr>
      <t>h</t>
    </r>
    <r>
      <rPr>
        <vertAlign val="subscript"/>
        <sz val="10"/>
        <rFont val="Arial"/>
        <family val="2"/>
      </rPr>
      <t>WRG</t>
    </r>
    <r>
      <rPr>
        <sz val="10"/>
        <rFont val="Arial"/>
        <family val="2"/>
      </rPr>
      <t xml:space="preserve"> &lt; 0,8 und DC-Ventilatoren</t>
    </r>
  </si>
  <si>
    <r>
      <t xml:space="preserve">Zentral, </t>
    </r>
    <r>
      <rPr>
        <sz val="10"/>
        <rFont val="Symbol"/>
        <family val="1"/>
        <charset val="2"/>
      </rPr>
      <t>h</t>
    </r>
    <r>
      <rPr>
        <vertAlign val="subscript"/>
        <sz val="10"/>
        <rFont val="Arial"/>
        <family val="2"/>
      </rPr>
      <t>WRG</t>
    </r>
    <r>
      <rPr>
        <sz val="10"/>
        <rFont val="Arial"/>
        <family val="2"/>
      </rPr>
      <t xml:space="preserve"> ≥ 0,8 und DC-Ventilatoren</t>
    </r>
  </si>
  <si>
    <r>
      <t xml:space="preserve">Zentral, 0,6 ≤ </t>
    </r>
    <r>
      <rPr>
        <sz val="10"/>
        <rFont val="Symbol"/>
        <family val="1"/>
        <charset val="2"/>
      </rPr>
      <t>h</t>
    </r>
    <r>
      <rPr>
        <vertAlign val="subscript"/>
        <sz val="10"/>
        <rFont val="Arial"/>
        <family val="2"/>
      </rPr>
      <t>WRG</t>
    </r>
    <r>
      <rPr>
        <sz val="10"/>
        <rFont val="Arial"/>
        <family val="2"/>
      </rPr>
      <t xml:space="preserve"> &lt; 0,8 und AC-Ventilatoren, mit Abluft/Zuluft-WP</t>
    </r>
  </si>
  <si>
    <r>
      <t xml:space="preserve">Zentral, 0,6 ≤ </t>
    </r>
    <r>
      <rPr>
        <sz val="10"/>
        <rFont val="Symbol"/>
        <family val="1"/>
        <charset val="2"/>
      </rPr>
      <t>h</t>
    </r>
    <r>
      <rPr>
        <vertAlign val="subscript"/>
        <sz val="10"/>
        <rFont val="Arial"/>
        <family val="2"/>
      </rPr>
      <t>WRG</t>
    </r>
    <r>
      <rPr>
        <sz val="10"/>
        <rFont val="Arial"/>
        <family val="2"/>
      </rPr>
      <t xml:space="preserve"> &lt; 0,8 und DC-Ventilatoren, mit Abluft/Zuluft-WP</t>
    </r>
  </si>
  <si>
    <r>
      <t xml:space="preserve">Zentral, </t>
    </r>
    <r>
      <rPr>
        <sz val="10"/>
        <rFont val="Symbol"/>
        <family val="1"/>
        <charset val="2"/>
      </rPr>
      <t>h</t>
    </r>
    <r>
      <rPr>
        <vertAlign val="subscript"/>
        <sz val="10"/>
        <rFont val="Arial"/>
        <family val="2"/>
      </rPr>
      <t>WRG</t>
    </r>
    <r>
      <rPr>
        <sz val="10"/>
        <rFont val="Arial"/>
        <family val="2"/>
      </rPr>
      <t xml:space="preserve"> = 0,0 und AC-Ventilatoren, mit Abluft/Zuluft-WP</t>
    </r>
  </si>
  <si>
    <r>
      <t xml:space="preserve">Zentral, </t>
    </r>
    <r>
      <rPr>
        <sz val="10"/>
        <rFont val="Symbol"/>
        <family val="1"/>
        <charset val="2"/>
      </rPr>
      <t>h</t>
    </r>
    <r>
      <rPr>
        <vertAlign val="subscript"/>
        <sz val="10"/>
        <rFont val="Arial"/>
        <family val="2"/>
      </rPr>
      <t>WRG</t>
    </r>
    <r>
      <rPr>
        <sz val="10"/>
        <rFont val="Arial"/>
        <family val="2"/>
      </rPr>
      <t xml:space="preserve"> = 0,0 und DC-Ventilatoren, mit Abluft/Zuluft-WP</t>
    </r>
  </si>
  <si>
    <r>
      <t xml:space="preserve">Dezentral, 0,6 ≤ </t>
    </r>
    <r>
      <rPr>
        <sz val="10"/>
        <rFont val="Symbol"/>
        <family val="1"/>
        <charset val="2"/>
      </rPr>
      <t>h</t>
    </r>
    <r>
      <rPr>
        <vertAlign val="subscript"/>
        <sz val="10"/>
        <rFont val="Arial"/>
        <family val="2"/>
      </rPr>
      <t>WRG</t>
    </r>
    <r>
      <rPr>
        <sz val="10"/>
        <rFont val="Arial"/>
        <family val="2"/>
      </rPr>
      <t xml:space="preserve"> &lt; 0,8 (AC oder DC-Vent.)</t>
    </r>
  </si>
  <si>
    <t>Tabelle C.2-3c:</t>
  </si>
  <si>
    <r>
      <t>Flächenbezogener Hilfsenergiebedarf q</t>
    </r>
    <r>
      <rPr>
        <vertAlign val="subscript"/>
        <sz val="10"/>
        <rFont val="Arial"/>
        <family val="2"/>
      </rPr>
      <t>L,g,HE,WRG</t>
    </r>
    <r>
      <rPr>
        <sz val="10"/>
        <rFont val="Arial"/>
        <family val="2"/>
      </rPr>
      <t xml:space="preserve"> bei zentralen Abluftanlagen</t>
    </r>
  </si>
  <si>
    <t>mit AC-Ventilator</t>
  </si>
  <si>
    <t>mit DC-Ventilator</t>
  </si>
  <si>
    <t>mit AC-Ventilatoren und mit Abluft/Wasser-WP</t>
  </si>
  <si>
    <t>mit DC-Ventilatoren und mit Abluft/Wasser-WP</t>
  </si>
  <si>
    <t>Tabelle C.2-3d:</t>
  </si>
  <si>
    <r>
      <t>Flächenbezogene Heizarbeit q</t>
    </r>
    <r>
      <rPr>
        <vertAlign val="subscript"/>
        <sz val="10"/>
        <rFont val="Arial"/>
        <family val="2"/>
      </rPr>
      <t>L,g,WE,WP</t>
    </r>
    <r>
      <rPr>
        <sz val="10"/>
        <rFont val="Arial"/>
        <family val="2"/>
      </rPr>
      <t xml:space="preserve"> bei zentralen Zuluft/Abluft-Wärmepumpen in Abhängigkeit von der anrechenbaren Heizarbeit </t>
    </r>
  </si>
  <si>
    <t>und dem Anlagen-Luftwechsel für verschiedene Wärmepumpen/Wärmeübertrager-Kombinationen</t>
  </si>
  <si>
    <t>Anlagen-</t>
  </si>
  <si>
    <t>Anrechenbare Heizarbeit</t>
  </si>
  <si>
    <t>luftwechsel</t>
  </si>
  <si>
    <r>
      <t>(q</t>
    </r>
    <r>
      <rPr>
        <vertAlign val="subscript"/>
        <sz val="10"/>
        <rFont val="Arial"/>
        <family val="2"/>
      </rPr>
      <t>h</t>
    </r>
    <r>
      <rPr>
        <sz val="10"/>
        <rFont val="Arial"/>
        <family val="2"/>
      </rPr>
      <t xml:space="preserve"> - q</t>
    </r>
    <r>
      <rPr>
        <vertAlign val="subscript"/>
        <sz val="10"/>
        <rFont val="Arial"/>
        <family val="2"/>
      </rPr>
      <t>L,g,WE,WRG</t>
    </r>
    <r>
      <rPr>
        <sz val="10"/>
        <rFont val="Arial"/>
        <family val="2"/>
      </rPr>
      <t xml:space="preserve"> + q</t>
    </r>
    <r>
      <rPr>
        <vertAlign val="subscript"/>
        <sz val="10"/>
        <rFont val="Arial"/>
        <family val="2"/>
      </rPr>
      <t>h,n</t>
    </r>
    <r>
      <rPr>
        <sz val="10"/>
        <rFont val="Arial"/>
        <family val="2"/>
      </rPr>
      <t>) in [kWh/(m²a)]</t>
    </r>
  </si>
  <si>
    <r>
      <t>n</t>
    </r>
    <r>
      <rPr>
        <vertAlign val="subscript"/>
        <sz val="10"/>
        <rFont val="Arial"/>
        <family val="2"/>
      </rPr>
      <t>A</t>
    </r>
    <r>
      <rPr>
        <sz val="10"/>
        <rFont val="Arial"/>
        <family val="2"/>
      </rPr>
      <t xml:space="preserve"> [1/h]</t>
    </r>
  </si>
  <si>
    <r>
      <t xml:space="preserve">Wärmeübertrager mit </t>
    </r>
    <r>
      <rPr>
        <sz val="10"/>
        <rFont val="Symbol"/>
        <family val="1"/>
        <charset val="2"/>
      </rPr>
      <t>h</t>
    </r>
    <r>
      <rPr>
        <vertAlign val="subscript"/>
        <sz val="10"/>
        <rFont val="Arial"/>
        <family val="2"/>
      </rPr>
      <t>WRG</t>
    </r>
    <r>
      <rPr>
        <sz val="10"/>
        <rFont val="Arial"/>
        <family val="2"/>
      </rPr>
      <t xml:space="preserve"> = 0,6;</t>
    </r>
  </si>
  <si>
    <t>DC-Ventilatoren;</t>
  </si>
  <si>
    <t>Keine Nutzung der Wärmepumpe</t>
  </si>
  <si>
    <t>zur Trinkwassererwärmung</t>
  </si>
  <si>
    <t>Nutzung der Wärmepumpe</t>
  </si>
  <si>
    <t>Kein Wärmeübertrager;</t>
  </si>
  <si>
    <t>AC-Ventilatoren;</t>
  </si>
  <si>
    <t>Tabelle C.2-3e:</t>
  </si>
  <si>
    <r>
      <t>Aufwandszahl der Wärmeerzeugung e</t>
    </r>
    <r>
      <rPr>
        <vertAlign val="subscript"/>
        <sz val="10"/>
        <rFont val="Arial"/>
        <family val="2"/>
      </rPr>
      <t>L,g,WP</t>
    </r>
    <r>
      <rPr>
        <sz val="10"/>
        <rFont val="Arial"/>
        <family val="2"/>
      </rPr>
      <t xml:space="preserve"> für Zuluft/Abluft-Wärmepumpen</t>
    </r>
  </si>
  <si>
    <t>Betrieb der Zuluft/Abluft-</t>
  </si>
  <si>
    <t>Erzeuger-Aufwandszahl</t>
  </si>
  <si>
    <t>Wärmepumpe in Kombination...</t>
  </si>
  <si>
    <r>
      <t>e</t>
    </r>
    <r>
      <rPr>
        <vertAlign val="subscript"/>
        <sz val="10"/>
        <rFont val="Arial"/>
        <family val="2"/>
      </rPr>
      <t>L,g,WP</t>
    </r>
  </si>
  <si>
    <t>...ohne Wärmeübertrager</t>
  </si>
  <si>
    <t>...mit WÜT (ohne Erdwärmetauscher)</t>
  </si>
  <si>
    <t>Tabelle C.2-3f:</t>
  </si>
  <si>
    <r>
      <t>Flächenbezogene Heizarbeit q</t>
    </r>
    <r>
      <rPr>
        <vertAlign val="subscript"/>
        <sz val="10"/>
        <rFont val="Arial"/>
        <family val="2"/>
      </rPr>
      <t>L,g,WE,HR</t>
    </r>
    <r>
      <rPr>
        <sz val="10"/>
        <rFont val="Arial"/>
        <family val="2"/>
      </rPr>
      <t xml:space="preserve"> bei Heizregistern in Abhängigkeit von der anrechenbaren Heizarbeit </t>
    </r>
  </si>
  <si>
    <t>und dem Anlagen-Luftwechsel für verschiedene Heizregister-/Wärmeübertrager/Wärmepumpen-Kombinationen</t>
  </si>
  <si>
    <t>DC-Ventilatoren</t>
  </si>
  <si>
    <t>Tabelle C.2-3g:</t>
  </si>
  <si>
    <r>
      <t>Aufwandszahl der Wärmeerzeugung e</t>
    </r>
    <r>
      <rPr>
        <vertAlign val="subscript"/>
        <sz val="10"/>
        <rFont val="Arial"/>
        <family val="2"/>
      </rPr>
      <t>L,g,HR</t>
    </r>
    <r>
      <rPr>
        <sz val="10"/>
        <rFont val="Arial"/>
        <family val="2"/>
      </rPr>
      <t xml:space="preserve"> für Zuluft-Heizregister</t>
    </r>
  </si>
  <si>
    <t>Beheizung des Zuluft-Heizregisters</t>
  </si>
  <si>
    <t>durch einen...</t>
  </si>
  <si>
    <r>
      <t>e</t>
    </r>
    <r>
      <rPr>
        <vertAlign val="subscript"/>
        <sz val="10"/>
        <rFont val="Arial"/>
        <family val="2"/>
      </rPr>
      <t>L,g,HR</t>
    </r>
  </si>
  <si>
    <t>... Elektro-Heizstab</t>
  </si>
  <si>
    <t>... Kessel oder anderer Heizwärmeerzeuger nach Kap. 5.3</t>
  </si>
  <si>
    <r>
      <t xml:space="preserve">1,2 </t>
    </r>
    <r>
      <rPr>
        <vertAlign val="superscript"/>
        <sz val="10"/>
        <rFont val="Arial"/>
        <family val="2"/>
      </rPr>
      <t>.</t>
    </r>
    <r>
      <rPr>
        <sz val="10"/>
        <rFont val="Arial"/>
        <family val="2"/>
      </rPr>
      <t xml:space="preserve"> e</t>
    </r>
    <r>
      <rPr>
        <vertAlign val="subscript"/>
        <sz val="10"/>
        <rFont val="Arial"/>
        <family val="2"/>
      </rPr>
      <t>H,g</t>
    </r>
  </si>
  <si>
    <t xml:space="preserve">    (indirekt mittels eines Wasserkreises)</t>
  </si>
  <si>
    <t>Tabelle C.2-4:</t>
  </si>
  <si>
    <r>
      <t>Korrekturwert q</t>
    </r>
    <r>
      <rPr>
        <vertAlign val="subscript"/>
        <sz val="10"/>
        <rFont val="Arial"/>
        <family val="2"/>
      </rPr>
      <t>h,n</t>
    </r>
    <r>
      <rPr>
        <sz val="10"/>
        <rFont val="Arial"/>
        <family val="2"/>
      </rPr>
      <t xml:space="preserve"> bei unterschiedlichem Anlagen-Luftwechsel</t>
    </r>
  </si>
  <si>
    <r>
      <t>Tatsächlicher Anlagen-Luftwechsel n</t>
    </r>
    <r>
      <rPr>
        <vertAlign val="subscript"/>
        <sz val="10"/>
        <rFont val="Arial"/>
        <family val="2"/>
      </rPr>
      <t>A</t>
    </r>
    <r>
      <rPr>
        <sz val="10"/>
        <rFont val="Arial"/>
        <family val="2"/>
      </rPr>
      <t xml:space="preserve"> [-]</t>
    </r>
  </si>
  <si>
    <t>Luftwechsel-Korrektur</t>
  </si>
  <si>
    <r>
      <t>q</t>
    </r>
    <r>
      <rPr>
        <vertAlign val="subscript"/>
        <sz val="10"/>
        <rFont val="Arial"/>
        <family val="2"/>
      </rPr>
      <t>h,n</t>
    </r>
    <r>
      <rPr>
        <sz val="10"/>
        <rFont val="Arial"/>
        <family val="2"/>
      </rPr>
      <t xml:space="preserve"> [kWh/(m²a)]</t>
    </r>
  </si>
  <si>
    <t>Tabelle C.3-1:</t>
  </si>
  <si>
    <r>
      <t>Flächenbezogener Verlust der Wärmeübergabe q</t>
    </r>
    <r>
      <rPr>
        <vertAlign val="subscript"/>
        <sz val="10"/>
        <rFont val="Arial"/>
        <family val="2"/>
      </rPr>
      <t>ce</t>
    </r>
    <r>
      <rPr>
        <sz val="10"/>
        <rFont val="Arial"/>
        <family val="2"/>
      </rPr>
      <t xml:space="preserve"> für die Übergabe der Wärme im Raum</t>
    </r>
  </si>
  <si>
    <t>Regelung</t>
  </si>
  <si>
    <r>
      <t>q</t>
    </r>
    <r>
      <rPr>
        <vertAlign val="subscript"/>
        <sz val="10"/>
        <rFont val="Arial"/>
        <family val="2"/>
      </rPr>
      <t>ce</t>
    </r>
  </si>
  <si>
    <t>Wasserheizung</t>
  </si>
  <si>
    <t>Thermostatregelventile und andere</t>
  </si>
  <si>
    <t>Freie Heizflächen</t>
  </si>
  <si>
    <t>P-Regler mit Auslegungsproportionalbereich:</t>
  </si>
  <si>
    <t>a) überwiegende Anordnung der</t>
  </si>
  <si>
    <t xml:space="preserve">   2 Kelvin</t>
  </si>
  <si>
    <t xml:space="preserve">    Heizflächen im Außenwandbereich</t>
  </si>
  <si>
    <t xml:space="preserve">   1 Kelvin</t>
  </si>
  <si>
    <t>elektronische Regeleinrichtung</t>
  </si>
  <si>
    <t>elektronische Regeleinrichtung mit Optimierungsfunktion</t>
  </si>
  <si>
    <t>b) überwiegende Anordnung im</t>
  </si>
  <si>
    <r>
      <t>q</t>
    </r>
    <r>
      <rPr>
        <vertAlign val="subscript"/>
        <sz val="10"/>
        <rFont val="Arial"/>
        <family val="2"/>
      </rPr>
      <t>ce</t>
    </r>
    <r>
      <rPr>
        <sz val="10"/>
        <rFont val="Arial"/>
        <family val="2"/>
      </rPr>
      <t xml:space="preserve"> + 1,1</t>
    </r>
  </si>
  <si>
    <t xml:space="preserve">    Innenwandbereich</t>
  </si>
  <si>
    <t>Integrierte Heizflächen</t>
  </si>
  <si>
    <t>Fußbodenheizungen</t>
  </si>
  <si>
    <t>Einzelraumregelung mit Zweipunktregler</t>
  </si>
  <si>
    <t>und andere Flächenheizungen</t>
  </si>
  <si>
    <t xml:space="preserve">   Schaltdifferenz 2 Kelvin</t>
  </si>
  <si>
    <t xml:space="preserve">   Schaltdifferenz 0,5 Kelvin</t>
  </si>
  <si>
    <t>Elektroheizung</t>
  </si>
  <si>
    <t>b) Überwiegende Anordnung</t>
  </si>
  <si>
    <t xml:space="preserve">   im Außenwandbereich</t>
  </si>
  <si>
    <t xml:space="preserve">    - Direktheizung</t>
  </si>
  <si>
    <t>Einzelraumregelung</t>
  </si>
  <si>
    <t xml:space="preserve">    - Speicherheizung</t>
  </si>
  <si>
    <r>
      <t>1)</t>
    </r>
    <r>
      <rPr>
        <sz val="10"/>
        <rFont val="Arial"/>
        <family val="2"/>
      </rPr>
      <t xml:space="preserve"> zeit- und temperaturabhängig arbeitend, mit PI- oder vergleichbarem Regelverhalten</t>
    </r>
  </si>
  <si>
    <r>
      <t>2)</t>
    </r>
    <r>
      <rPr>
        <sz val="10"/>
        <rFont val="Arial"/>
        <family val="2"/>
      </rPr>
      <t xml:space="preserve"> mit zusätzlichen Funktionen wie z.B. Fensteröffnungs- oder Präsenzerkennung</t>
    </r>
  </si>
  <si>
    <r>
      <t>3)</t>
    </r>
    <r>
      <rPr>
        <sz val="10"/>
        <rFont val="Arial"/>
        <family val="2"/>
      </rPr>
      <t xml:space="preserve"> elektronische Regeleinrichtung zeit- und temperaturabhängig arbeitend, mit PI- oder vergleichbarem Regelverhalten.</t>
    </r>
  </si>
  <si>
    <t>Tabelle C.3-2a:</t>
  </si>
  <si>
    <r>
      <t>Flächenbezogener Wärmeverlust der Wärmeverteilung q</t>
    </r>
    <r>
      <rPr>
        <vertAlign val="subscript"/>
        <sz val="10"/>
        <rFont val="Arial"/>
        <family val="2"/>
      </rPr>
      <t>d</t>
    </r>
    <r>
      <rPr>
        <sz val="10"/>
        <rFont val="Arial"/>
        <family val="2"/>
      </rPr>
      <t xml:space="preserve"> in Abhängigkeit von A</t>
    </r>
    <r>
      <rPr>
        <vertAlign val="subscript"/>
        <sz val="10"/>
        <rFont val="Arial"/>
        <family val="2"/>
      </rPr>
      <t>N</t>
    </r>
    <r>
      <rPr>
        <sz val="10"/>
        <rFont val="Arial"/>
        <family val="2"/>
      </rPr>
      <t xml:space="preserve"> für Systemtemperaturen 90/70 °C, 70/55 °C, 55/45 °C, 35/28 °C. </t>
    </r>
  </si>
  <si>
    <t>Verteilebene außerhalb der thermischen Hülle</t>
  </si>
  <si>
    <r>
      <t>flächenbezogener Wärmeverlust der Verteilung q</t>
    </r>
    <r>
      <rPr>
        <vertAlign val="subscript"/>
        <sz val="10"/>
        <rFont val="Arial"/>
        <family val="2"/>
      </rPr>
      <t>d</t>
    </r>
    <r>
      <rPr>
        <sz val="10"/>
        <rFont val="Arial"/>
        <family val="2"/>
      </rPr>
      <t xml:space="preserve"> [kWh/(m²a)]</t>
    </r>
  </si>
  <si>
    <t>horizontale Verteilung außerhalb der thermischen Hülle</t>
  </si>
  <si>
    <t>Verteilungsstränge außenliegend</t>
  </si>
  <si>
    <t>Verteilungsstränge innenliegend</t>
  </si>
  <si>
    <t>90/70°C</t>
  </si>
  <si>
    <t>70/55°C</t>
  </si>
  <si>
    <t>55/45°C</t>
  </si>
  <si>
    <t>35/28°C</t>
  </si>
  <si>
    <t>Tabelle C.3-2b:</t>
  </si>
  <si>
    <t>Verteilebene innerhalb der thermischen Hülle</t>
  </si>
  <si>
    <t>ANutz</t>
  </si>
  <si>
    <t>horizontale Verteilung innerhalb der thermischen Hülle</t>
  </si>
  <si>
    <t>Tabelle C.3-2c:</t>
  </si>
  <si>
    <r>
      <t>flächenbezogener Hilfsenergiebedarf q</t>
    </r>
    <r>
      <rPr>
        <vertAlign val="subscript"/>
        <sz val="10"/>
        <rFont val="Arial"/>
        <family val="2"/>
      </rPr>
      <t>d,HE</t>
    </r>
    <r>
      <rPr>
        <sz val="10"/>
        <rFont val="Arial"/>
        <family val="2"/>
      </rPr>
      <t xml:space="preserve"> für 20, 15, 10 und 7 K Temperaturspreizung.</t>
    </r>
  </si>
  <si>
    <t>Geregelte Pumpen</t>
  </si>
  <si>
    <t>Ungeregelte Pumpen</t>
  </si>
  <si>
    <t>freie Heizflächen</t>
  </si>
  <si>
    <t>integrierte</t>
  </si>
  <si>
    <t>Heizflächen</t>
  </si>
  <si>
    <t>20 K</t>
  </si>
  <si>
    <t>15 K</t>
  </si>
  <si>
    <t>10 K</t>
  </si>
  <si>
    <t>7 K</t>
  </si>
  <si>
    <t>Tabelle C.3-2d:</t>
  </si>
  <si>
    <r>
      <t>Flächenbezogener Wärmeverlust q</t>
    </r>
    <r>
      <rPr>
        <vertAlign val="subscript"/>
        <sz val="10"/>
        <rFont val="Arial"/>
        <family val="2"/>
      </rPr>
      <t>d</t>
    </r>
    <r>
      <rPr>
        <sz val="10"/>
        <rFont val="Arial"/>
        <family val="2"/>
      </rPr>
      <t xml:space="preserve"> und Hilfsenergiebedarf q</t>
    </r>
    <r>
      <rPr>
        <vertAlign val="subscript"/>
        <sz val="10"/>
        <rFont val="Arial"/>
        <family val="2"/>
      </rPr>
      <t>d,HE</t>
    </r>
    <r>
      <rPr>
        <sz val="10"/>
        <rFont val="Arial"/>
        <family val="2"/>
      </rPr>
      <t xml:space="preserve"> für die Wärmeverteilung dezentraler Systeme</t>
    </r>
  </si>
  <si>
    <t>Flächenbezogener Wärmeverlust und Hilfsenergiebedarf in [kWh/(m²a)]</t>
  </si>
  <si>
    <r>
      <t>q</t>
    </r>
    <r>
      <rPr>
        <vertAlign val="subscript"/>
        <sz val="10"/>
        <rFont val="Arial"/>
        <family val="2"/>
      </rPr>
      <t>d</t>
    </r>
  </si>
  <si>
    <r>
      <t>q</t>
    </r>
    <r>
      <rPr>
        <vertAlign val="subscript"/>
        <sz val="10"/>
        <rFont val="Arial"/>
        <family val="2"/>
      </rPr>
      <t>d,HE</t>
    </r>
  </si>
  <si>
    <t>Alle dezentralen Systeme</t>
  </si>
  <si>
    <t>Tabelle C.3-3:</t>
  </si>
  <si>
    <r>
      <t>flächenbezogener Wärmeverlust q</t>
    </r>
    <r>
      <rPr>
        <vertAlign val="subscript"/>
        <sz val="10"/>
        <rFont val="Arial"/>
        <family val="2"/>
      </rPr>
      <t>H,s</t>
    </r>
    <r>
      <rPr>
        <sz val="10"/>
        <rFont val="Arial"/>
        <family val="2"/>
      </rPr>
      <t xml:space="preserve"> und Hilfsenergiebedarf q</t>
    </r>
    <r>
      <rPr>
        <vertAlign val="subscript"/>
        <sz val="10"/>
        <rFont val="Arial"/>
        <family val="2"/>
      </rPr>
      <t>H,s,HE</t>
    </r>
    <r>
      <rPr>
        <sz val="10"/>
        <rFont val="Arial"/>
        <family val="2"/>
      </rPr>
      <t xml:space="preserve"> der Wärmespeicherung</t>
    </r>
  </si>
  <si>
    <r>
      <t>Wärmeverlust q</t>
    </r>
    <r>
      <rPr>
        <vertAlign val="subscript"/>
        <sz val="10"/>
        <rFont val="Arial"/>
        <family val="2"/>
      </rPr>
      <t>H,s</t>
    </r>
    <r>
      <rPr>
        <sz val="10"/>
        <rFont val="Arial"/>
        <family val="2"/>
      </rPr>
      <t xml:space="preserve"> [kWh/(m²a)]</t>
    </r>
  </si>
  <si>
    <r>
      <t>Hilfsenergie q</t>
    </r>
    <r>
      <rPr>
        <vertAlign val="subscript"/>
        <sz val="10"/>
        <rFont val="Arial"/>
        <family val="2"/>
      </rPr>
      <t>H,s,HE</t>
    </r>
  </si>
  <si>
    <t>Aufstellung innerhalb der</t>
  </si>
  <si>
    <t>Aufstellung außerhalb der</t>
  </si>
  <si>
    <t>thermischen Hülle</t>
  </si>
  <si>
    <t>Tabelle C.3-4a:</t>
  </si>
  <si>
    <r>
      <t>Wärmeerzeuger-Deckungsanteile α</t>
    </r>
    <r>
      <rPr>
        <vertAlign val="subscript"/>
        <sz val="10"/>
        <rFont val="Arial"/>
        <family val="2"/>
      </rPr>
      <t>g</t>
    </r>
    <r>
      <rPr>
        <sz val="10"/>
        <rFont val="Arial"/>
        <family val="2"/>
      </rPr>
      <t xml:space="preserve"> [-] bei kombinierten Heizsystemen</t>
    </r>
  </si>
  <si>
    <r>
      <t xml:space="preserve">Wärmeerzeuger-Kombination </t>
    </r>
    <r>
      <rPr>
        <vertAlign val="superscript"/>
        <sz val="10"/>
        <rFont val="Arial"/>
        <family val="2"/>
      </rPr>
      <t>14</t>
    </r>
  </si>
  <si>
    <r>
      <t>α</t>
    </r>
    <r>
      <rPr>
        <vertAlign val="subscript"/>
        <sz val="10"/>
        <rFont val="Arial"/>
        <family val="2"/>
      </rPr>
      <t>g</t>
    </r>
    <r>
      <rPr>
        <sz val="10"/>
        <rFont val="Arial"/>
        <family val="2"/>
      </rPr>
      <t xml:space="preserve"> bei Heizungsanlagen</t>
    </r>
  </si>
  <si>
    <t>ohne solare Heizungsunterstützung</t>
  </si>
  <si>
    <t>mit solarer Heizungsunterstützung</t>
  </si>
  <si>
    <t>(Grundlast-WE)</t>
  </si>
  <si>
    <t>(Spitzenlast-WE)</t>
  </si>
  <si>
    <t>(Solar)</t>
  </si>
  <si>
    <t>nicht</t>
  </si>
  <si>
    <t>Wärmepumpe</t>
  </si>
  <si>
    <t>vorhanden</t>
  </si>
  <si>
    <t>Fernwärme usw.</t>
  </si>
  <si>
    <t>elektr. Heizer</t>
  </si>
  <si>
    <t>BHKW</t>
  </si>
  <si>
    <r>
      <t>14)</t>
    </r>
    <r>
      <rPr>
        <sz val="10"/>
        <rFont val="Arial"/>
        <family val="2"/>
      </rPr>
      <t xml:space="preserve"> Gilt nicht für Abluftwärmepumpen; diese sind nach Abschnitt 5.3.4.1.2 zu berechnen.</t>
    </r>
  </si>
  <si>
    <t>Tabelle C.3-4b:</t>
  </si>
  <si>
    <r>
      <t>Aufwandszahlen e</t>
    </r>
    <r>
      <rPr>
        <vertAlign val="subscript"/>
        <sz val="10"/>
        <rFont val="Arial"/>
        <family val="2"/>
      </rPr>
      <t>g,w</t>
    </r>
    <r>
      <rPr>
        <sz val="11"/>
        <color theme="1"/>
        <rFont val="Calibri"/>
        <family val="2"/>
        <scheme val="minor"/>
      </rPr>
      <t xml:space="preserve"> und Hilfsenergie q</t>
    </r>
    <r>
      <rPr>
        <vertAlign val="subscript"/>
        <sz val="10"/>
        <rFont val="Arial"/>
        <family val="2"/>
      </rPr>
      <t>g,HE</t>
    </r>
    <r>
      <rPr>
        <sz val="10"/>
        <rFont val="Arial"/>
        <family val="2"/>
      </rPr>
      <t xml:space="preserve"> der Erzeugung für Heizkessel</t>
    </r>
  </si>
  <si>
    <t>alle</t>
  </si>
  <si>
    <t>35/28</t>
  </si>
  <si>
    <t>ausschließlich raumluftunabhängige Betriebsweise Aufstellung innerhalb der thermischen Hülle</t>
  </si>
  <si>
    <t>Tabelle C3-4c:</t>
  </si>
  <si>
    <r>
      <t>Aufwandszahlen eg und Hilfsenergie q</t>
    </r>
    <r>
      <rPr>
        <vertAlign val="subscript"/>
        <sz val="10"/>
        <rFont val="Arial"/>
        <family val="2"/>
      </rPr>
      <t>g,HE</t>
    </r>
    <r>
      <rPr>
        <sz val="10"/>
        <rFont val="Arial"/>
        <family val="2"/>
      </rPr>
      <t xml:space="preserve"> der Erzeugung für Elektro-Wärmepumpen</t>
    </r>
  </si>
  <si>
    <t>Elektrowärmepumpen</t>
  </si>
  <si>
    <t>Heizkreistemperaturen</t>
  </si>
  <si>
    <r>
      <t>e</t>
    </r>
    <r>
      <rPr>
        <vertAlign val="subscript"/>
        <sz val="10"/>
        <rFont val="Arial"/>
        <family val="2"/>
      </rPr>
      <t>g</t>
    </r>
    <r>
      <rPr>
        <sz val="10"/>
        <rFont val="Arial"/>
        <family val="2"/>
      </rPr>
      <t xml:space="preserve"> [-]</t>
    </r>
  </si>
  <si>
    <r>
      <t>q</t>
    </r>
    <r>
      <rPr>
        <vertAlign val="subscript"/>
        <sz val="10"/>
        <rFont val="Arial"/>
        <family val="2"/>
      </rPr>
      <t>g,HE</t>
    </r>
    <r>
      <rPr>
        <sz val="10"/>
        <rFont val="Arial"/>
        <family val="2"/>
      </rPr>
      <t xml:space="preserve"> [kWh/(m²a)]</t>
    </r>
  </si>
  <si>
    <t>Wasser/Wasser</t>
  </si>
  <si>
    <r>
      <t>3,2⋅ A</t>
    </r>
    <r>
      <rPr>
        <vertAlign val="subscript"/>
        <sz val="10"/>
        <rFont val="Arial"/>
        <family val="2"/>
      </rPr>
      <t>N</t>
    </r>
    <r>
      <rPr>
        <vertAlign val="superscript"/>
        <sz val="10"/>
        <rFont val="Arial"/>
        <family val="2"/>
      </rPr>
      <t>−0,1</t>
    </r>
  </si>
  <si>
    <t>Erdreich/Wasser</t>
  </si>
  <si>
    <r>
      <t>1,9⋅ A</t>
    </r>
    <r>
      <rPr>
        <vertAlign val="subscript"/>
        <sz val="10"/>
        <rFont val="Arial"/>
        <family val="2"/>
      </rPr>
      <t>N</t>
    </r>
    <r>
      <rPr>
        <vertAlign val="superscript"/>
        <sz val="10"/>
        <rFont val="Arial"/>
        <family val="2"/>
      </rPr>
      <t>−0,1</t>
    </r>
  </si>
  <si>
    <t>Luft/wasser</t>
  </si>
  <si>
    <t>Abluft/Wasser (ohne WRG)</t>
  </si>
  <si>
    <r>
      <t xml:space="preserve">0 </t>
    </r>
    <r>
      <rPr>
        <vertAlign val="superscript"/>
        <sz val="10"/>
        <rFont val="Arial"/>
        <family val="2"/>
      </rPr>
      <t>16</t>
    </r>
  </si>
  <si>
    <r>
      <t>16)</t>
    </r>
    <r>
      <rPr>
        <sz val="10"/>
        <rFont val="Arial"/>
        <family val="2"/>
      </rPr>
      <t xml:space="preserve"> sofern erhöhte Ventilatorleistung bei der Lüftungsanlage bereits berücksichtigt wurde, ansonsten &gt; 0</t>
    </r>
  </si>
  <si>
    <t>Tabelle C3-4d:</t>
  </si>
  <si>
    <t>Aufwandszahlen e und Hilfsenergie q der Erzeugung für Elektroheizung</t>
  </si>
  <si>
    <t>Direktheizung</t>
  </si>
  <si>
    <t>Speicherheizung</t>
  </si>
  <si>
    <t>Tabelle C3-4e:</t>
  </si>
  <si>
    <r>
      <t>Aufwandszahlen e</t>
    </r>
    <r>
      <rPr>
        <vertAlign val="subscript"/>
        <sz val="10"/>
        <rFont val="Arial"/>
        <family val="2"/>
      </rPr>
      <t>g</t>
    </r>
    <r>
      <rPr>
        <sz val="10"/>
        <rFont val="Arial"/>
        <family val="2"/>
      </rPr>
      <t xml:space="preserve"> und Hilfsenergie q</t>
    </r>
    <r>
      <rPr>
        <vertAlign val="subscript"/>
        <sz val="10"/>
        <rFont val="Arial"/>
        <family val="2"/>
      </rPr>
      <t>g,HE</t>
    </r>
    <r>
      <rPr>
        <sz val="10"/>
        <rFont val="Arial"/>
        <family val="2"/>
      </rPr>
      <t xml:space="preserve"> der Erzeugung für Sonstige Systeme</t>
    </r>
  </si>
  <si>
    <t>Tabelle C3-4f:</t>
  </si>
  <si>
    <r>
      <t xml:space="preserve">Erzeuger-Aufwandszahlen für Biomasse-Wärmeerzeuger </t>
    </r>
    <r>
      <rPr>
        <vertAlign val="superscript"/>
        <sz val="10"/>
        <rFont val="Arial"/>
        <family val="2"/>
      </rPr>
      <t>17</t>
    </r>
  </si>
  <si>
    <r>
      <t>Erzeuger-Aufwandszahl e</t>
    </r>
    <r>
      <rPr>
        <vertAlign val="subscript"/>
        <sz val="10"/>
        <rFont val="Arial"/>
        <family val="2"/>
      </rPr>
      <t>H,g,Bio</t>
    </r>
    <r>
      <rPr>
        <sz val="10"/>
        <rFont val="Arial"/>
        <family val="2"/>
      </rPr>
      <t xml:space="preserve"> und e</t>
    </r>
    <r>
      <rPr>
        <vertAlign val="subscript"/>
        <sz val="10"/>
        <rFont val="Arial"/>
        <family val="2"/>
      </rPr>
      <t>TW,g,HP,Bio</t>
    </r>
    <r>
      <rPr>
        <sz val="10"/>
        <rFont val="Arial"/>
        <family val="2"/>
      </rPr>
      <t xml:space="preserve"> in [-]</t>
    </r>
  </si>
  <si>
    <t>Stückholz-Feuerung</t>
  </si>
  <si>
    <t>Pellet-Feuerung</t>
  </si>
  <si>
    <t>Direkte und indirekte</t>
  </si>
  <si>
    <t>Nur indirekte Wärmeabgabe</t>
  </si>
  <si>
    <t>Wärmeabgabe</t>
  </si>
  <si>
    <t>an den Heizkreis</t>
  </si>
  <si>
    <r>
      <t>17)</t>
    </r>
    <r>
      <rPr>
        <sz val="10"/>
        <rFont val="Arial"/>
        <family val="2"/>
      </rPr>
      <t xml:space="preserve"> Die Zahlen wurden unter den Randbedingungen:</t>
    </r>
  </si>
  <si>
    <t xml:space="preserve">    1. gemeinsame Nutzung für Heizung und Trinkwassererwärmung,</t>
  </si>
  <si>
    <t xml:space="preserve">    2. Hilfsenergie ohne Pumpenstrom (muss separat berücksichtigt werden) und ohne separate Fördereinrichtung,</t>
  </si>
  <si>
    <t xml:space="preserve">    3. gebäudezentrale Leitungen, Steigleitungen innenliegen, 70°/55°C-Heizkreis, Radiatoren 2K, Trinkwasser mit Zirkulation und</t>
  </si>
  <si>
    <r>
      <t xml:space="preserve">    q</t>
    </r>
    <r>
      <rPr>
        <vertAlign val="subscript"/>
        <sz val="10"/>
        <rFont val="Arial"/>
        <family val="2"/>
      </rPr>
      <t>h</t>
    </r>
    <r>
      <rPr>
        <sz val="10"/>
        <rFont val="Arial"/>
        <family val="2"/>
      </rPr>
      <t xml:space="preserve"> = 60 kWh/m²a gerechnet, gelten aber im Rahmen des Anhangs C, soweit nicht anders bekannt, auch für andere Randbedingungen.</t>
    </r>
  </si>
  <si>
    <t>Tabelle C3-4g:</t>
  </si>
  <si>
    <r>
      <t xml:space="preserve">flächenbezogener Hilfsenergiebedarf für Biomasse-Wärmeerzeuger </t>
    </r>
    <r>
      <rPr>
        <vertAlign val="superscript"/>
        <sz val="10"/>
        <rFont val="Arial"/>
        <family val="2"/>
      </rPr>
      <t>17</t>
    </r>
  </si>
  <si>
    <r>
      <t>Hilfsenergie q</t>
    </r>
    <r>
      <rPr>
        <vertAlign val="subscript"/>
        <sz val="10"/>
        <rFont val="Arial"/>
        <family val="2"/>
      </rPr>
      <t>H,g,HE,Bio</t>
    </r>
    <r>
      <rPr>
        <sz val="10"/>
        <rFont val="Arial"/>
        <family val="2"/>
      </rPr>
      <t xml:space="preserve"> in [kWh/(m²a)]</t>
    </r>
  </si>
  <si>
    <t>(nur mit Regelung)</t>
  </si>
  <si>
    <t>(mit Ventilator/elektrische Zündung)</t>
  </si>
  <si>
    <t>Tabelle C.4-1:</t>
  </si>
  <si>
    <t>Primärenergiefaktoren</t>
  </si>
  <si>
    <r>
      <t xml:space="preserve">Energieträger </t>
    </r>
    <r>
      <rPr>
        <vertAlign val="superscript"/>
        <sz val="10"/>
        <rFont val="Arial"/>
        <family val="2"/>
      </rPr>
      <t>a</t>
    </r>
  </si>
  <si>
    <t>Primärenergie-Faktoren</t>
  </si>
  <si>
    <t>insgesamt</t>
  </si>
  <si>
    <t>nicht erneuerbarer Anteil</t>
  </si>
  <si>
    <r>
      <t xml:space="preserve">Nah/ Fernwärme aus KWK </t>
    </r>
    <r>
      <rPr>
        <vertAlign val="superscript"/>
        <sz val="10"/>
        <rFont val="Arial"/>
        <family val="2"/>
      </rPr>
      <t>b</t>
    </r>
  </si>
  <si>
    <t>Nah/Fernwärme aus Heizwerken</t>
  </si>
  <si>
    <t>Strom-Mix</t>
  </si>
  <si>
    <r>
      <t xml:space="preserve">2,7 </t>
    </r>
    <r>
      <rPr>
        <b/>
        <vertAlign val="superscript"/>
        <sz val="10"/>
        <rFont val="Arial"/>
        <family val="2"/>
      </rPr>
      <t>c</t>
    </r>
  </si>
  <si>
    <t>Solarenergie, Umgebungswärme</t>
  </si>
  <si>
    <r>
      <t>a)</t>
    </r>
    <r>
      <rPr>
        <sz val="10"/>
        <rFont val="Arial"/>
        <family val="2"/>
      </rPr>
      <t xml:space="preserve"> Bezugsgröße Endenergie: Heizwert H</t>
    </r>
    <r>
      <rPr>
        <vertAlign val="subscript"/>
        <sz val="10"/>
        <rFont val="Arial"/>
        <family val="2"/>
      </rPr>
      <t>i</t>
    </r>
  </si>
  <si>
    <r>
      <t>b)</t>
    </r>
    <r>
      <rPr>
        <sz val="10"/>
        <rFont val="Arial"/>
        <family val="2"/>
      </rPr>
      <t xml:space="preserve"> Angaben sind typisch für durchschnittliche Nah-/Fernwärme mit einem Anteil der KWK von 70 %.</t>
    </r>
  </si>
  <si>
    <t>und DIN V 4701-10/A1:2006-12</t>
  </si>
  <si>
    <t>Tabellen C.1 Trinkwarmwasseranlagen</t>
  </si>
  <si>
    <t>Tabellen C.2 Lüftungsanlagen</t>
  </si>
  <si>
    <t>Tabellen C.3 Heizungsanlagen</t>
  </si>
  <si>
    <t>Tabellen C.4 Primärenergiefaktoren</t>
  </si>
  <si>
    <t>Tabelle B.1 - Energieträgerabhängige Umrechnungsfaktoren</t>
  </si>
  <si>
    <t>Tabelle A.1 - Primärenergiefaktoren</t>
  </si>
  <si>
    <t xml:space="preserve">und Berichtigung </t>
  </si>
  <si>
    <t>DIN V 18599-1 : 2013-05</t>
  </si>
  <si>
    <t>Energetische Bewertung heiz- und raumlufttechnischer Anlagen - Teil 10: Heizung, Trinkwassererwärmung, Lüftung</t>
  </si>
  <si>
    <t>Energetische Bewertung von Gebäuden - Berechnung des Nutz-, End- und Primärenergiebedarfs für Heizung, Kühlung, Lüftung, Trinkwarmwasser und Beleuchtung</t>
  </si>
  <si>
    <t xml:space="preserve"> - Teil 1: Allgemeine Bilanzierungsverfahren, Begriffe, Zonierung und Bewertung der Energieträger</t>
  </si>
  <si>
    <t>Nichtamtliche Lesefassung zu der am 16.10.2013 von der Bundesregierung beschlossenen, noch nicht in Kraft getretenen Zweiten Verordnung zur Änderung der Energieeinsparverordnung</t>
  </si>
  <si>
    <t>Tabelle 1 - Ausführung des Referenzgebäudes</t>
  </si>
  <si>
    <t xml:space="preserve">Referenzausführung/Wert (Maßeinheit) </t>
  </si>
  <si>
    <t xml:space="preserve">Eigenschaft (zu Zeilen 1.1 bis 3)   </t>
  </si>
  <si>
    <t>Zeile</t>
  </si>
  <si>
    <t>Bauteil/Systeme</t>
  </si>
  <si>
    <t>1.0</t>
  </si>
  <si>
    <t>1.1</t>
  </si>
  <si>
    <t>1.2</t>
  </si>
  <si>
    <t>1.3</t>
  </si>
  <si>
    <t>1.4</t>
  </si>
  <si>
    <t xml:space="preserve">Außenwand (einschließ-
lich Einbauten, wie Roll-
ladenkästen), Geschossde-
cke gegen Außenluft  </t>
  </si>
  <si>
    <t xml:space="preserve">Außenwand  gegen  Erd-
reich, Bodenplatte, Wände 
und  Decken  zu  unbeheiz-
ten Räumen  </t>
  </si>
  <si>
    <t>Dach,  oberste  Geschoss-
decke, Wände zu Abseiten</t>
  </si>
  <si>
    <t xml:space="preserve">Fenster, Fenstertüren </t>
  </si>
  <si>
    <t>1.5</t>
  </si>
  <si>
    <t>1.6</t>
  </si>
  <si>
    <t>1.7</t>
  </si>
  <si>
    <t>Dachflächenfenster</t>
  </si>
  <si>
    <t>Lichtkuppeln</t>
  </si>
  <si>
    <t>Außentüren</t>
  </si>
  <si>
    <t xml:space="preserve">Bauteile  nach den Zeilen 
1.1 bis 1.7 </t>
  </si>
  <si>
    <t xml:space="preserve">Luftdichtheit der Gebäude-
hülle </t>
  </si>
  <si>
    <t>Sonnenschutzvorrichtung</t>
  </si>
  <si>
    <t>Heizungsanlage</t>
  </si>
  <si>
    <t xml:space="preserve">Anlage zur Warmwasser-
bereitung </t>
  </si>
  <si>
    <t>Kühlung</t>
  </si>
  <si>
    <t xml:space="preserve">zentrale Abluftanlage, bedarfsgeführt mit geregeltem DC-Ventilator </t>
  </si>
  <si>
    <t xml:space="preserve">keine Kühlung </t>
  </si>
  <si>
    <t xml:space="preserve">keine  im  Rahmen  der  Nachweise  nach Nummer  2.1.1  oder  2.1.2 
anzurechnende Sonnenschutzvorrichtung </t>
  </si>
  <si>
    <t xml:space="preserve">Bei Berechnung nach  
•  DIN V 4108-6: 2003-06: mit 
Dichtheitsprüfung 
•  DIN V 18599-2: 2011-12: nach  
Kategorie I * </t>
  </si>
  <si>
    <t xml:space="preserve">U = 0,28 W/(m²K) </t>
  </si>
  <si>
    <t xml:space="preserve">U = 0,35 W/(m²K) </t>
  </si>
  <si>
    <t xml:space="preserve">U = 0,20 W/(m²K) </t>
  </si>
  <si>
    <t xml:space="preserve">Gesamtenergiedurchlassgrad 
der Verglasung </t>
  </si>
  <si>
    <r>
      <t>g</t>
    </r>
    <r>
      <rPr>
        <vertAlign val="subscript"/>
        <sz val="9"/>
        <color theme="1"/>
        <rFont val="Arial"/>
        <family val="2"/>
      </rPr>
      <t>senkr</t>
    </r>
    <r>
      <rPr>
        <sz val="9"/>
        <color theme="1"/>
        <rFont val="Arial"/>
        <family val="2"/>
      </rPr>
      <t xml:space="preserve"> = 0,60</t>
    </r>
  </si>
  <si>
    <r>
      <t>U</t>
    </r>
    <r>
      <rPr>
        <vertAlign val="subscript"/>
        <sz val="9"/>
        <color theme="1"/>
        <rFont val="Arial"/>
        <family val="2"/>
      </rPr>
      <t>W</t>
    </r>
    <r>
      <rPr>
        <sz val="9"/>
        <color theme="1"/>
        <rFont val="Arial"/>
        <family val="2"/>
      </rPr>
      <t xml:space="preserve"> = 1,4 W/(m²K) </t>
    </r>
  </si>
  <si>
    <r>
      <t>U</t>
    </r>
    <r>
      <rPr>
        <vertAlign val="subscript"/>
        <sz val="9"/>
        <color theme="1"/>
        <rFont val="Arial"/>
        <family val="2"/>
      </rPr>
      <t>W</t>
    </r>
    <r>
      <rPr>
        <sz val="9"/>
        <color theme="1"/>
        <rFont val="Arial"/>
        <family val="2"/>
      </rPr>
      <t xml:space="preserve"> = 1,3 W/(m²K) </t>
    </r>
  </si>
  <si>
    <t xml:space="preserve">U = 1,8 W/(m²K) </t>
  </si>
  <si>
    <r>
      <t>U</t>
    </r>
    <r>
      <rPr>
        <vertAlign val="subscript"/>
        <sz val="9"/>
        <color theme="1"/>
        <rFont val="Arial"/>
        <family val="2"/>
      </rPr>
      <t>W</t>
    </r>
    <r>
      <rPr>
        <sz val="9"/>
        <color theme="1"/>
        <rFont val="Arial"/>
        <family val="2"/>
      </rPr>
      <t xml:space="preserve"> = 2,7 W/(m²K) </t>
    </r>
  </si>
  <si>
    <r>
      <t>g</t>
    </r>
    <r>
      <rPr>
        <vertAlign val="subscript"/>
        <sz val="9"/>
        <color theme="1"/>
        <rFont val="Arial"/>
        <family val="2"/>
      </rPr>
      <t>senkr</t>
    </r>
    <r>
      <rPr>
        <sz val="9"/>
        <color theme="1"/>
        <rFont val="Arial"/>
        <family val="2"/>
      </rPr>
      <t xml:space="preserve"> = 0,64</t>
    </r>
  </si>
  <si>
    <t xml:space="preserve">* Die Angaben nach Anlage 4 zum Überprüfungsverfahren für die Dichtheit bleiben unberührt. </t>
  </si>
  <si>
    <r>
      <t>Bemessungswert n</t>
    </r>
    <r>
      <rPr>
        <vertAlign val="subscript"/>
        <sz val="9"/>
        <color theme="1"/>
        <rFont val="Arial"/>
        <family val="2"/>
      </rPr>
      <t>50</t>
    </r>
    <r>
      <rPr>
        <sz val="9"/>
        <color theme="1"/>
        <rFont val="Arial"/>
        <family val="2"/>
      </rPr>
      <t xml:space="preserve">  </t>
    </r>
  </si>
  <si>
    <t xml:space="preserve">• Wärmeerzeugung durch Brennwertkessel (verbessert), Heizöl EL, Aufstellung: 
-  für  Gebäude  bis  zu  500 m²  Gebäudenutzfläche  innerhalb  der thermischen Hülle 
-  für Gebäude mit mehr als 500 m² Gebäudenutzfläche außerhalb der thermischen Hülle 
• Auslegungstemperatur 55/45 °C,  zentrales  Verteilsystem  innerhalb  der wärmeübertragenden  Umfassungsfläche,  innen  liegende Stränge und Anbindeleitungen, Standard-Leitungslängen nach DIN V  4701-10:  2003-08  Tabelle  5.3-2,  Pumpe  auf  Bedarf  ausgelegt (geregelt, Δp konstant), Rohrnetz hydraulisch abgeglichen
• Wärmeübergabe mit freien statischen Heizflächen, Anordnung an 
normaler  Außenwand,  Thermostatventile  mit  Proportionalbereich 1 K </t>
  </si>
  <si>
    <t xml:space="preserve">• zentrale Warmwasserbereitung 
• gemeinsame Wärmebereitung mit Heizungsanlage nach Zeile 5
• bei Berechnung nach Nummer 2.1.1: Solaranlage  mit  Flachkollektor  sowie Speicher  ausgelegt  gemäß DIN V 18599-8: 2011-12 Tabelle 15 
• bei Berechnung nach Nummer 2.1.2: Solaranlage  mit Flachkollektor zur ausschließlichen Trinkwassererwärmung  entsprechend  den  Vorgaben  nach  DIN V  4701-10: 2003-08 Tabelle 5.1-10 mit  Speicher, indirekt beheizt (stehend), gleiche Aufstellung wie Wärmeerzeuger,
-  kleine Solaranlage bei A N  ≤ 500 m² (bivalenter Solarspeicher) 
-  große Solaranlage bei A N  &gt; 500 m² 
• Verteilsystem  innerhalb  der  wärmeübertragenden  Umfassungsfläche,  innen  liegende  Stränge,  gemeinsame  Installationswand, Standard-Leitungslängen  nach  DIN  V  4701-10:  2003-08  Tabelle 5.1-2 mit Zirkulation </t>
  </si>
  <si>
    <t xml:space="preserve">Tabelle 3 - Randbedingungen für die Berechnung des Jahres-Primärenergiebedarfs  </t>
  </si>
  <si>
    <t>Kenngröße</t>
  </si>
  <si>
    <r>
      <t>Verschattungsfaktor F</t>
    </r>
    <r>
      <rPr>
        <vertAlign val="subscript"/>
        <sz val="9"/>
        <color theme="1"/>
        <rFont val="Arial"/>
        <family val="2"/>
      </rPr>
      <t>S</t>
    </r>
  </si>
  <si>
    <t xml:space="preserve">Solare Wärmegewinne über opake Bauteile </t>
  </si>
  <si>
    <t>Gebäudeautomation</t>
  </si>
  <si>
    <t>Teilbeheizung</t>
  </si>
  <si>
    <r>
      <t>F</t>
    </r>
    <r>
      <rPr>
        <vertAlign val="subscript"/>
        <sz val="9"/>
        <color theme="1"/>
        <rFont val="Arial"/>
        <family val="2"/>
      </rPr>
      <t>S</t>
    </r>
    <r>
      <rPr>
        <sz val="9"/>
        <color theme="1"/>
        <rFont val="Arial"/>
        <family val="2"/>
      </rPr>
      <t xml:space="preserve">  = 0,9  
soweit die baulichen Bedingungen nicht detailliert berücksichtigt werden. </t>
    </r>
  </si>
  <si>
    <t>-  Emissionsgrad der Außenfläche für Wärmestrahlung:   ε = 0,8 
-  Strahlungsabsorptionsgrad an opaken Oberflächen:  α = 0,5  
  für dunkle Dächer kann abweichend   α = 0,8  angenommen werden.</t>
  </si>
  <si>
    <r>
      <t>-  Summand Δθ</t>
    </r>
    <r>
      <rPr>
        <vertAlign val="subscript"/>
        <sz val="9"/>
        <color theme="1"/>
        <rFont val="Arial"/>
        <family val="2"/>
      </rPr>
      <t>EMS</t>
    </r>
    <r>
      <rPr>
        <sz val="9"/>
        <color theme="1"/>
        <rFont val="Arial"/>
        <family val="2"/>
      </rPr>
      <t xml:space="preserve"> : Klasse C  
-  Faktor adaptiver Betrieb f adapt : Klasse C jeweils nach DIN V 18599-11: 2011-12 </t>
    </r>
  </si>
  <si>
    <r>
      <t>Für den Faktor a</t>
    </r>
    <r>
      <rPr>
        <vertAlign val="subscript"/>
        <sz val="9"/>
        <color theme="1"/>
        <rFont val="Arial"/>
        <family val="2"/>
      </rPr>
      <t>TB</t>
    </r>
    <r>
      <rPr>
        <sz val="9"/>
        <color theme="1"/>
        <rFont val="Arial"/>
        <family val="2"/>
      </rPr>
      <t xml:space="preserve">  (Anteil mitbeheizter Flächen) sind ausschließ-
lich die Standardwerte nach DIN V 18599-10: 2011-12 Tabelle 4 zu 
verwenden. </t>
    </r>
  </si>
  <si>
    <t xml:space="preserve">Der nach einem der in Nummer 2.1 angegebenen Verfahren berechnete Jahres-Primärenergiebedarf des Referenzgebäudes nach den Zeilen 1.1 bis 8 ist für Neubauvorhaben ab dem 1. Januar 2016 mit dem Faktor 0,75 zu multiplizieren. § 28 bleibt unberührt. </t>
  </si>
  <si>
    <r>
      <t xml:space="preserve">Tabelle A.1 - Primärenergiefaktoren </t>
    </r>
    <r>
      <rPr>
        <b/>
        <vertAlign val="superscript"/>
        <sz val="9"/>
        <color theme="1"/>
        <rFont val="Arial"/>
        <family val="2"/>
      </rPr>
      <t>a</t>
    </r>
  </si>
  <si>
    <t xml:space="preserve">Tabelle B.1 - Energieträgerabhängige Umrechnungsfaktoren </t>
  </si>
  <si>
    <r>
      <t>ΔU</t>
    </r>
    <r>
      <rPr>
        <vertAlign val="subscript"/>
        <sz val="9"/>
        <color theme="1"/>
        <rFont val="Arial"/>
        <family val="2"/>
      </rPr>
      <t>WB</t>
    </r>
    <r>
      <rPr>
        <sz val="9"/>
        <color theme="1"/>
        <rFont val="Arial"/>
        <family val="2"/>
      </rPr>
      <t xml:space="preserve"> = 0,05 W/(m²K) </t>
    </r>
  </si>
  <si>
    <r>
      <t xml:space="preserve">DIN EN ISO </t>
    </r>
    <r>
      <rPr>
        <b/>
        <sz val="9"/>
        <color theme="1"/>
        <rFont val="Arial"/>
        <family val="2"/>
      </rPr>
      <t>10456</t>
    </r>
    <r>
      <rPr>
        <sz val="9"/>
        <color theme="1"/>
        <rFont val="Arial"/>
        <family val="2"/>
      </rPr>
      <t xml:space="preserve"> : 2010-05</t>
    </r>
  </si>
  <si>
    <r>
      <t xml:space="preserve">DIN EN ISO </t>
    </r>
    <r>
      <rPr>
        <b/>
        <sz val="9"/>
        <color theme="1"/>
        <rFont val="Arial"/>
        <family val="2"/>
      </rPr>
      <t>6946</t>
    </r>
    <r>
      <rPr>
        <sz val="9"/>
        <color theme="1"/>
        <rFont val="Arial"/>
        <family val="2"/>
      </rPr>
      <t xml:space="preserve"> : 2008-04</t>
    </r>
  </si>
  <si>
    <r>
      <t xml:space="preserve">DIN V </t>
    </r>
    <r>
      <rPr>
        <b/>
        <sz val="9"/>
        <color theme="1"/>
        <rFont val="Arial"/>
        <family val="2"/>
      </rPr>
      <t>4701-10</t>
    </r>
    <r>
      <rPr>
        <sz val="9"/>
        <color theme="1"/>
        <rFont val="Arial"/>
        <family val="2"/>
      </rPr>
      <t>:2003-08</t>
    </r>
  </si>
  <si>
    <r>
      <t xml:space="preserve">DIN V </t>
    </r>
    <r>
      <rPr>
        <b/>
        <sz val="9"/>
        <color theme="1"/>
        <rFont val="Arial"/>
        <family val="2"/>
      </rPr>
      <t>18599-1</t>
    </r>
    <r>
      <rPr>
        <sz val="9"/>
        <color theme="1"/>
        <rFont val="Arial"/>
        <family val="2"/>
      </rPr>
      <t xml:space="preserve"> : 2011-12</t>
    </r>
  </si>
  <si>
    <t>informativ: Luftwechsel bei 50 Pa Druckunterschied (Dichtheit)</t>
  </si>
  <si>
    <r>
      <t>n</t>
    </r>
    <r>
      <rPr>
        <vertAlign val="subscript"/>
        <sz val="10"/>
        <rFont val="Arial"/>
        <family val="2"/>
      </rPr>
      <t>50</t>
    </r>
    <r>
      <rPr>
        <sz val="10"/>
        <rFont val="Arial"/>
        <family val="2"/>
      </rPr>
      <t xml:space="preserve"> [h</t>
    </r>
    <r>
      <rPr>
        <vertAlign val="superscript"/>
        <sz val="10"/>
        <rFont val="Arial"/>
        <family val="2"/>
      </rPr>
      <t>-1</t>
    </r>
    <r>
      <rPr>
        <sz val="10"/>
        <rFont val="Arial"/>
        <family val="2"/>
      </rPr>
      <t>] =</t>
    </r>
  </si>
  <si>
    <r>
      <t>Lufttwechsel durch Infiltration n</t>
    </r>
    <r>
      <rPr>
        <vertAlign val="subscript"/>
        <sz val="10"/>
        <rFont val="Arial"/>
        <family val="2"/>
      </rPr>
      <t>inf</t>
    </r>
    <r>
      <rPr>
        <sz val="10"/>
        <rFont val="Arial"/>
        <family val="2"/>
      </rPr>
      <t xml:space="preserve"> [h</t>
    </r>
    <r>
      <rPr>
        <vertAlign val="superscript"/>
        <sz val="10"/>
        <rFont val="Arial"/>
        <family val="2"/>
      </rPr>
      <t>-1</t>
    </r>
    <r>
      <rPr>
        <sz val="10"/>
        <rFont val="Arial"/>
        <family val="2"/>
      </rPr>
      <t>]</t>
    </r>
  </si>
  <si>
    <t>Tabellen vereinfachte Randbedingungen in Anlehnung an DIN EN 12831</t>
  </si>
  <si>
    <r>
      <t>n</t>
    </r>
    <r>
      <rPr>
        <vertAlign val="subscript"/>
        <sz val="10"/>
        <rFont val="Arial"/>
        <family val="2"/>
      </rPr>
      <t>50</t>
    </r>
    <r>
      <rPr>
        <sz val="10"/>
        <rFont val="Arial"/>
        <family val="2"/>
      </rPr>
      <t xml:space="preserve"> [h</t>
    </r>
    <r>
      <rPr>
        <vertAlign val="superscript"/>
        <sz val="10"/>
        <rFont val="Arial"/>
        <family val="2"/>
      </rPr>
      <t>-1</t>
    </r>
    <r>
      <rPr>
        <sz val="10"/>
        <rFont val="Arial"/>
        <family val="2"/>
      </rPr>
      <t>]</t>
    </r>
  </si>
  <si>
    <r>
      <t>n</t>
    </r>
    <r>
      <rPr>
        <b/>
        <vertAlign val="subscript"/>
        <sz val="10"/>
        <rFont val="Arial"/>
        <family val="2"/>
      </rPr>
      <t>inf</t>
    </r>
    <r>
      <rPr>
        <b/>
        <sz val="10"/>
        <rFont val="Arial"/>
        <family val="2"/>
      </rPr>
      <t xml:space="preserve"> [h</t>
    </r>
    <r>
      <rPr>
        <b/>
        <vertAlign val="superscript"/>
        <sz val="10"/>
        <rFont val="Arial"/>
        <family val="2"/>
      </rPr>
      <t>-1</t>
    </r>
    <r>
      <rPr>
        <b/>
        <sz val="10"/>
        <rFont val="Arial"/>
        <family val="2"/>
      </rPr>
      <t>]</t>
    </r>
  </si>
  <si>
    <t>Fensterlüftung oder Abluftanlage</t>
  </si>
  <si>
    <t>Zu-/Abluftanlage mit WRG</t>
  </si>
  <si>
    <r>
      <t>Annahmen: Absenk-/Aufheizzeit: 7h/1h; n</t>
    </r>
    <r>
      <rPr>
        <vertAlign val="subscript"/>
        <sz val="8"/>
        <rFont val="Arial"/>
        <family val="2"/>
      </rPr>
      <t>Abs</t>
    </r>
    <r>
      <rPr>
        <sz val="8"/>
        <rFont val="Arial"/>
        <family val="2"/>
      </rPr>
      <t xml:space="preserve"> = 0,1 h</t>
    </r>
    <r>
      <rPr>
        <vertAlign val="superscript"/>
        <sz val="8"/>
        <rFont val="Arial"/>
        <family val="2"/>
      </rPr>
      <t>-1</t>
    </r>
    <r>
      <rPr>
        <sz val="8"/>
        <rFont val="Arial"/>
        <family val="2"/>
      </rPr>
      <t xml:space="preserve"> bei WRG</t>
    </r>
  </si>
  <si>
    <t>EnEV 2014 16.10.2013 - Anlage 1 Wohngebäude, Tab. 1 Ausführung Referenzgebäude</t>
  </si>
  <si>
    <t>EnEV 2014 16.10.2013 - Anlage 1 Wohngebäude, Tab. 3 Randbedingungen</t>
  </si>
  <si>
    <t>Ab dem 1. Januar 2016 darf der spezifische, auf die wärmeübertragende Umfassungsfläche bezogene Transmissionswärmeverlust eines zu errichtenden Wohngebäudes das 1,0fache des entsprechenden Wertes des jeweiligen Referenzgebäudes nicht überschreiten. Die jeweiligen Höchstwerte der Tabelle 2 dürfen dabei nicht überschritten werden. § 28 bleibt unberührt.</t>
  </si>
  <si>
    <r>
      <rPr>
        <sz val="10"/>
        <rFont val="Calibri"/>
        <family val="2"/>
        <scheme val="minor"/>
      </rPr>
      <t>spez. zusätzliche Wiederaufheizlast f</t>
    </r>
    <r>
      <rPr>
        <vertAlign val="subscript"/>
        <sz val="10"/>
        <rFont val="Arial"/>
        <family val="2"/>
      </rPr>
      <t>RH,spez.</t>
    </r>
    <r>
      <rPr>
        <sz val="10"/>
        <rFont val="Arial"/>
        <family val="2"/>
      </rPr>
      <t xml:space="preserve"> [W/m²]</t>
    </r>
  </si>
  <si>
    <t>2.1.10 Fenster in Kellerwand (Kellerschachtfenster, Annahme Orientierung Nord)</t>
  </si>
  <si>
    <r>
      <t>Q</t>
    </r>
    <r>
      <rPr>
        <b/>
        <vertAlign val="subscript"/>
        <sz val="9"/>
        <color theme="0" tint="-0.34998626667073579"/>
        <rFont val="Arial"/>
        <family val="2"/>
      </rPr>
      <t>h,Referenz</t>
    </r>
    <r>
      <rPr>
        <b/>
        <sz val="9"/>
        <color theme="0" tint="-0.34998626667073579"/>
        <rFont val="Arial"/>
        <family val="2"/>
      </rPr>
      <t xml:space="preserve"> [kWh/mth]</t>
    </r>
  </si>
  <si>
    <r>
      <t>Q</t>
    </r>
    <r>
      <rPr>
        <vertAlign val="subscript"/>
        <sz val="9"/>
        <color theme="0" tint="-0.34998626667073579"/>
        <rFont val="Arial"/>
        <family val="2"/>
      </rPr>
      <t>l,M,Referenz</t>
    </r>
    <r>
      <rPr>
        <sz val="9"/>
        <color theme="0" tint="-0.34998626667073579"/>
        <rFont val="Arial"/>
        <family val="2"/>
      </rPr>
      <t xml:space="preserve"> [kWh/mth]</t>
    </r>
  </si>
  <si>
    <r>
      <t>Q</t>
    </r>
    <r>
      <rPr>
        <vertAlign val="subscript"/>
        <sz val="9"/>
        <color theme="0" tint="-0.34998626667073579"/>
        <rFont val="Arial"/>
        <family val="2"/>
      </rPr>
      <t>g,M,Referenz</t>
    </r>
    <r>
      <rPr>
        <sz val="9"/>
        <color theme="0" tint="-0.34998626667073579"/>
        <rFont val="Arial"/>
        <family val="2"/>
      </rPr>
      <t xml:space="preserve"> [kWh/mth]</t>
    </r>
  </si>
  <si>
    <r>
      <t>h</t>
    </r>
    <r>
      <rPr>
        <vertAlign val="subscript"/>
        <sz val="9"/>
        <color theme="0" tint="-0.34998626667073579"/>
        <rFont val="Arial"/>
        <family val="2"/>
      </rPr>
      <t>Referenz</t>
    </r>
    <r>
      <rPr>
        <sz val="9"/>
        <color theme="0" tint="-0.34998626667073579"/>
        <rFont val="Arial"/>
        <family val="2"/>
      </rPr>
      <t xml:space="preserve"> (eta) [-]</t>
    </r>
  </si>
  <si>
    <t>Anlagenaufwandszahl eP [-]</t>
  </si>
  <si>
    <t>Primärenergiebedarf QP'' [kWh/(m²a)]</t>
  </si>
  <si>
    <t>EnEV 2014 16.10.2013 - Anlage 1 Wohngebäude, Text 1 Höchstwerte</t>
  </si>
  <si>
    <t>EnEV 2014 16.10.2013 - Anlage 1 Wohngebäude, Tab. 2 Höchstwerte HT'</t>
  </si>
  <si>
    <t>Anlage 1 Anforderungen an Wohngebäude</t>
  </si>
  <si>
    <t>Freistehendes Wohngebäude</t>
  </si>
  <si>
    <r>
      <t>mit A</t>
    </r>
    <r>
      <rPr>
        <vertAlign val="subscript"/>
        <sz val="9"/>
        <color theme="1"/>
        <rFont val="Arial"/>
        <family val="2"/>
      </rPr>
      <t>N</t>
    </r>
    <r>
      <rPr>
        <sz val="9"/>
        <color theme="1"/>
        <rFont val="Arial"/>
        <family val="2"/>
      </rPr>
      <t xml:space="preserve"> &lt;= 350 m²</t>
    </r>
  </si>
  <si>
    <r>
      <t>mit A</t>
    </r>
    <r>
      <rPr>
        <vertAlign val="subscript"/>
        <sz val="9"/>
        <color theme="1"/>
        <rFont val="Arial"/>
        <family val="2"/>
      </rPr>
      <t>N</t>
    </r>
    <r>
      <rPr>
        <sz val="9"/>
        <color theme="1"/>
        <rFont val="Arial"/>
        <family val="2"/>
      </rPr>
      <t xml:space="preserve"> &gt; 350 m²</t>
    </r>
  </si>
  <si>
    <t>Höchstwerte des spezifischen Transmissionswärmeverlusts</t>
  </si>
  <si>
    <r>
      <t>H</t>
    </r>
    <r>
      <rPr>
        <vertAlign val="subscript"/>
        <sz val="9"/>
        <color theme="1"/>
        <rFont val="Arial"/>
        <family val="2"/>
      </rPr>
      <t>T</t>
    </r>
    <r>
      <rPr>
        <sz val="9"/>
        <color theme="1"/>
        <rFont val="Arial"/>
        <family val="2"/>
      </rPr>
      <t>' = 0,40 W/(m²K)</t>
    </r>
  </si>
  <si>
    <t>Einseitig angebautes Gebäude *</t>
  </si>
  <si>
    <t>Alle anderen Gebäude</t>
  </si>
  <si>
    <t xml:space="preserve">Erweiterungen und Ausbauten von Wohngebäuden gemäß § 9 Absatz 5 </t>
  </si>
  <si>
    <r>
      <t>H</t>
    </r>
    <r>
      <rPr>
        <vertAlign val="subscript"/>
        <sz val="9"/>
        <color theme="1"/>
        <rFont val="Arial"/>
        <family val="2"/>
      </rPr>
      <t>T</t>
    </r>
    <r>
      <rPr>
        <sz val="9"/>
        <color theme="1"/>
        <rFont val="Arial"/>
        <family val="2"/>
      </rPr>
      <t>' = 0,50 W/(m²K)</t>
    </r>
  </si>
  <si>
    <r>
      <t>H</t>
    </r>
    <r>
      <rPr>
        <vertAlign val="subscript"/>
        <sz val="9"/>
        <color theme="1"/>
        <rFont val="Arial"/>
        <family val="2"/>
      </rPr>
      <t>T</t>
    </r>
    <r>
      <rPr>
        <sz val="9"/>
        <color theme="1"/>
        <rFont val="Arial"/>
        <family val="2"/>
      </rPr>
      <t>' = 0,45 W/(m²K)</t>
    </r>
  </si>
  <si>
    <r>
      <t>H</t>
    </r>
    <r>
      <rPr>
        <vertAlign val="subscript"/>
        <sz val="9"/>
        <color theme="1"/>
        <rFont val="Arial"/>
        <family val="2"/>
      </rPr>
      <t>T</t>
    </r>
    <r>
      <rPr>
        <sz val="9"/>
        <color theme="1"/>
        <rFont val="Arial"/>
        <family val="2"/>
      </rPr>
      <t>' = 0,65 W/(m²K)</t>
    </r>
  </si>
  <si>
    <t xml:space="preserve">* Einseitig angebaut ist ein Wohngebäude, wenn von den vertikalen Flächen dieses Gebäudes, die nach einer Himmelsrichtung weisen, ein Anteil von 80 Prozent oder mehr an ein anderes Wohngebäude oder an ein Nichtwohngebäude mit einer Raum-Solltemperatur von mindestens 19 Grad Celsius angrenzt. </t>
  </si>
  <si>
    <t xml:space="preserve">1.1 Höchstwerte des Jahres-Primärenergiebedarfs </t>
  </si>
  <si>
    <t>Der Höchstwert des Jahres-Primärenergiebedarfs eines zu errichtenden Wohngebäudes ist der auf die Gebäudenutzfläche bezogene, nach einem der in Nr. 2.1 angegebenen Verfahren berechnete Jahres-Primärenergiebedarf eines Referenzgebäudes gleicher Geometrie, Gebäudenutzfläche und Ausrichtung wie das zu errichtende Wohngebäude, das hinsichtlich seiner Ausführung den Vorgaben der Tabelle 1 entspricht.</t>
  </si>
  <si>
    <t xml:space="preserve">1.2 Höchstwerte des spezifischen, auf die wärmeübertragende Umfassungsfläche bezogenen Transmissionswärmeverlusts </t>
  </si>
  <si>
    <t xml:space="preserve">1.3 Definition der Bezugsgrößen </t>
  </si>
  <si>
    <t xml:space="preserve">1.3.2 Das beheizte Gebäudevolumen V e in m³ ist das Volumen, das von der nach Nr. 1.3.1 ermittelten wärmeübertragenden Umfassungsfläche A umschlossen wird. </t>
  </si>
  <si>
    <t xml:space="preserve">1 Höchstwerte des Jahres-Primärenergiebedarfs und des spezifischen Transmissionswärmeverlusts für zu errichtende Wohngebäude (zu § 3 Absatz 1 und 2) </t>
  </si>
  <si>
    <r>
      <t>1.3.3 Die Gebäudenutzfläche A</t>
    </r>
    <r>
      <rPr>
        <vertAlign val="subscript"/>
        <sz val="9"/>
        <color theme="1"/>
        <rFont val="Arial"/>
        <family val="2"/>
      </rPr>
      <t>N</t>
    </r>
    <r>
      <rPr>
        <sz val="9"/>
        <color theme="1"/>
        <rFont val="Arial"/>
        <family val="2"/>
      </rPr>
      <t xml:space="preserve"> in m² wird bei Wohngebäuden wie folgt ermittelt: 
     A</t>
    </r>
    <r>
      <rPr>
        <vertAlign val="subscript"/>
        <sz val="9"/>
        <color theme="1"/>
        <rFont val="Arial"/>
        <family val="2"/>
      </rPr>
      <t>N</t>
    </r>
    <r>
      <rPr>
        <sz val="9"/>
        <color theme="1"/>
        <rFont val="Arial"/>
        <family val="2"/>
      </rPr>
      <t xml:space="preserve"> = 0,32 m</t>
    </r>
    <r>
      <rPr>
        <vertAlign val="superscript"/>
        <sz val="9"/>
        <color theme="1"/>
        <rFont val="Arial"/>
        <family val="2"/>
      </rPr>
      <t>-1</t>
    </r>
    <r>
      <rPr>
        <sz val="9"/>
        <color theme="1"/>
        <rFont val="Arial"/>
        <family val="2"/>
      </rPr>
      <t xml:space="preserve"> V</t>
    </r>
    <r>
      <rPr>
        <vertAlign val="subscript"/>
        <sz val="9"/>
        <color theme="1"/>
        <rFont val="Arial"/>
        <family val="2"/>
      </rPr>
      <t>e</t>
    </r>
    <r>
      <rPr>
        <sz val="9"/>
        <color theme="1"/>
        <rFont val="Arial"/>
        <family val="2"/>
      </rPr>
      <t xml:space="preserve"> 
     mit A</t>
    </r>
    <r>
      <rPr>
        <vertAlign val="subscript"/>
        <sz val="9"/>
        <color theme="1"/>
        <rFont val="Arial"/>
        <family val="2"/>
      </rPr>
      <t>N</t>
    </r>
    <r>
      <rPr>
        <sz val="9"/>
        <color theme="1"/>
        <rFont val="Arial"/>
        <family val="2"/>
      </rPr>
      <t xml:space="preserve"> Gebäudenutzfläche in m² 
           V</t>
    </r>
    <r>
      <rPr>
        <vertAlign val="subscript"/>
        <sz val="9"/>
        <color theme="1"/>
        <rFont val="Arial"/>
        <family val="2"/>
      </rPr>
      <t>e</t>
    </r>
    <r>
      <rPr>
        <sz val="9"/>
        <color theme="1"/>
        <rFont val="Arial"/>
        <family val="2"/>
      </rPr>
      <t xml:space="preserve"> beheiztes Gebäudevolumen in m³. 
Beträgt die durchschnittliche Geschosshöhe h</t>
    </r>
    <r>
      <rPr>
        <vertAlign val="subscript"/>
        <sz val="9"/>
        <color theme="1"/>
        <rFont val="Arial"/>
        <family val="2"/>
      </rPr>
      <t>G</t>
    </r>
    <r>
      <rPr>
        <sz val="9"/>
        <color theme="1"/>
        <rFont val="Arial"/>
        <family val="2"/>
      </rPr>
      <t xml:space="preserve"> eines Wohngebäudes, gemessen von der Oberfläche des Fußbodens zur Oberfläche des Fußbodens des darüber liegenden Geschosses, mehr als 3 m oder weniger als 2,5 m, so ist die Gebäudenutzfläche A</t>
    </r>
    <r>
      <rPr>
        <vertAlign val="subscript"/>
        <sz val="9"/>
        <color theme="1"/>
        <rFont val="Arial"/>
        <family val="2"/>
      </rPr>
      <t>N</t>
    </r>
    <r>
      <rPr>
        <sz val="9"/>
        <color theme="1"/>
        <rFont val="Arial"/>
        <family val="2"/>
      </rPr>
      <t xml:space="preserve"> abweichend von Satz 1 wie folgt zu ermitteln: 
     A</t>
    </r>
    <r>
      <rPr>
        <vertAlign val="subscript"/>
        <sz val="9"/>
        <color theme="1"/>
        <rFont val="Arial"/>
        <family val="2"/>
      </rPr>
      <t>N</t>
    </r>
    <r>
      <rPr>
        <sz val="9"/>
        <color theme="1"/>
        <rFont val="Arial"/>
        <family val="2"/>
      </rPr>
      <t xml:space="preserve"> = (1 / h</t>
    </r>
    <r>
      <rPr>
        <vertAlign val="subscript"/>
        <sz val="9"/>
        <color theme="1"/>
        <rFont val="Arial"/>
        <family val="2"/>
      </rPr>
      <t>G</t>
    </r>
    <r>
      <rPr>
        <sz val="9"/>
        <color theme="1"/>
        <rFont val="Arial"/>
        <family val="2"/>
      </rPr>
      <t xml:space="preserve"> - 0,04 m</t>
    </r>
    <r>
      <rPr>
        <vertAlign val="superscript"/>
        <sz val="9"/>
        <color theme="1"/>
        <rFont val="Arial"/>
        <family val="2"/>
      </rPr>
      <t>-1</t>
    </r>
    <r>
      <rPr>
        <sz val="9"/>
        <color theme="1"/>
        <rFont val="Arial"/>
        <family val="2"/>
      </rPr>
      <t>) V</t>
    </r>
    <r>
      <rPr>
        <vertAlign val="subscript"/>
        <sz val="9"/>
        <color theme="1"/>
        <rFont val="Arial"/>
        <family val="2"/>
      </rPr>
      <t>e</t>
    </r>
    <r>
      <rPr>
        <sz val="9"/>
        <color theme="1"/>
        <rFont val="Arial"/>
        <family val="2"/>
      </rPr>
      <t xml:space="preserve"> 
     mit A</t>
    </r>
    <r>
      <rPr>
        <vertAlign val="subscript"/>
        <sz val="9"/>
        <color theme="1"/>
        <rFont val="Arial"/>
        <family val="2"/>
      </rPr>
      <t>N</t>
    </r>
    <r>
      <rPr>
        <sz val="9"/>
        <color theme="1"/>
        <rFont val="Arial"/>
        <family val="2"/>
      </rPr>
      <t xml:space="preserve"> Gebäudenutzfläche in m² 
           h</t>
    </r>
    <r>
      <rPr>
        <vertAlign val="subscript"/>
        <sz val="9"/>
        <color theme="1"/>
        <rFont val="Arial"/>
        <family val="2"/>
      </rPr>
      <t>G</t>
    </r>
    <r>
      <rPr>
        <sz val="9"/>
        <color theme="1"/>
        <rFont val="Arial"/>
        <family val="2"/>
      </rPr>
      <t xml:space="preserve"> Geschossdeckenhöhe in m 
           V</t>
    </r>
    <r>
      <rPr>
        <vertAlign val="subscript"/>
        <sz val="9"/>
        <color theme="1"/>
        <rFont val="Arial"/>
        <family val="2"/>
      </rPr>
      <t>e</t>
    </r>
    <r>
      <rPr>
        <sz val="9"/>
        <color theme="1"/>
        <rFont val="Arial"/>
        <family val="2"/>
      </rPr>
      <t xml:space="preserve"> beheiztes Gebäudevolumen in m³. </t>
    </r>
  </si>
  <si>
    <t xml:space="preserve">Text - 2  Berechnungsverfahren für Wohngebäude (zu § 3 Absatz 3, § 9 Absatz 2 und 5) </t>
  </si>
  <si>
    <t>Text - 1  Höchstwerte  des  Jahres-Primärenergiebedarfs  und  des  spezifischen  Transmissionswärmeverlusts für zu errichtende Wohngebäude (zu § 3 Absatz 1 und 2)</t>
  </si>
  <si>
    <t xml:space="preserve">Tabelle 2 - Höchstwerte des spezifischen, auf die wärmeübertragende Umfassungsfläche bezogenen Transmissionswärmeverlusts </t>
  </si>
  <si>
    <t>EnEV 2014 16.10.2013 - Anlage 1 Wohngebäude, Text 2 Berechnungsverfahren</t>
  </si>
  <si>
    <r>
      <t xml:space="preserve">Soweit in dem zu errichtenden Wohngebäude eine elektrische Warmwasserbereitung ausgeführt wird, darf diese bis zum </t>
    </r>
    <r>
      <rPr>
        <b/>
        <sz val="9"/>
        <color theme="1"/>
        <rFont val="Arial"/>
        <family val="2"/>
      </rPr>
      <t>31. Dezember</t>
    </r>
    <r>
      <rPr>
        <sz val="9"/>
        <color theme="1"/>
        <rFont val="Arial"/>
        <family val="2"/>
      </rPr>
      <t xml:space="preserve"> 2015 anstelle von Tabelle 1 Zeile 6 als wohnungszentrale Anlage ohne Speicher gemäß den in Tabelle 5.1-3 der DIN V 4701-10: 2003-08, geändert durch A1: </t>
    </r>
    <r>
      <rPr>
        <b/>
        <sz val="9"/>
        <color theme="1"/>
        <rFont val="Arial"/>
        <family val="2"/>
      </rPr>
      <t>2012-07</t>
    </r>
    <r>
      <rPr>
        <sz val="9"/>
        <color theme="1"/>
        <rFont val="Arial"/>
        <family val="2"/>
      </rPr>
      <t>, gegebenen Randbedingungen berücksichtigt werden. Der sich daraus ergebende Höchstwert des Jahres-Primärenergiebedarfs ist in Fällen des Satzes 2 um</t>
    </r>
    <r>
      <rPr>
        <b/>
        <sz val="9"/>
        <color theme="1"/>
        <rFont val="Arial"/>
        <family val="2"/>
      </rPr>
      <t xml:space="preserve"> 10,0</t>
    </r>
    <r>
      <rPr>
        <sz val="9"/>
        <color theme="1"/>
        <rFont val="Arial"/>
        <family val="2"/>
      </rPr>
      <t xml:space="preserve"> kWh/(m²⋅a) zu verringern; dies gilt nicht bei Durchführung von Maßnahmen zur Einsparung von Energie nach § 7 </t>
    </r>
    <r>
      <rPr>
        <b/>
        <sz val="9"/>
        <color theme="1"/>
        <rFont val="Arial"/>
        <family val="2"/>
      </rPr>
      <t>Absatz 1</t>
    </r>
    <r>
      <rPr>
        <sz val="9"/>
        <color theme="1"/>
        <rFont val="Arial"/>
        <family val="2"/>
      </rPr>
      <t xml:space="preserve"> Nummer 2 in Verbindung mit Nummer </t>
    </r>
    <r>
      <rPr>
        <b/>
        <sz val="9"/>
        <color theme="1"/>
        <rFont val="Arial"/>
        <family val="2"/>
      </rPr>
      <t>VII.1 und 2</t>
    </r>
    <r>
      <rPr>
        <sz val="9"/>
        <color theme="1"/>
        <rFont val="Arial"/>
        <family val="2"/>
      </rPr>
      <t xml:space="preserve"> der Anlage des Erneuerbare-Energien-Wärmegesetzes. </t>
    </r>
  </si>
  <si>
    <r>
      <t>1.3.1 Die wärmeübertragende Umfassungsfläche A eines Wohngebäudes in m² ist nach</t>
    </r>
    <r>
      <rPr>
        <b/>
        <sz val="9"/>
        <color theme="1"/>
        <rFont val="Arial"/>
        <family val="2"/>
      </rPr>
      <t xml:space="preserve"> den in DIN V 18599-1: 2011-12 Abschnitt 8 angegebenen Bemaßungsregeln so festzulegen, dass sie alle beheizten und gekühlten Räume einschließt. Für alle umschlossenen Räume sind dabei gleiche, den Vorgaben der Nummer 2.1.1 oder 2.1.2 entsprechende Nutzungsrandbedingungen anzunehmen (Ein-Zonen-Modell). </t>
    </r>
  </si>
  <si>
    <t xml:space="preserve">2 Berechnungsverfahren für Wohngebäude (zu § 3 Absatz 3, § 9 Absatz 2 und 5) </t>
  </si>
  <si>
    <t>2.1 Berechnung des Jahres-Primärenergiebedarfs</t>
  </si>
  <si>
    <t>2.2 Berücksichtigung der Warmwasserbereitung</t>
  </si>
  <si>
    <t>2.3 Berechnung des spezifischen Transmissionswärmeverlusts</t>
  </si>
  <si>
    <t>2.4 Beheiztes Luftvolumen</t>
  </si>
  <si>
    <t>2.5 Ermittlung der solaren Wärmegewinne bei Fertighäusern und vergleichbaren Gebäuden</t>
  </si>
  <si>
    <t xml:space="preserve">Werden Gebäude nach Plänen errichtet, die für mehrere Gebäude an verschiedenen Standorten erstellt worden sind, dürfen bei der Berechnung die solaren Gewinne so ermittelt werden, als wären alle Fenster dieser Gebäude nach Osten oder Westen orientiert. </t>
  </si>
  <si>
    <t>2.6 Aneinandergereihte Bebauung</t>
  </si>
  <si>
    <t>2.7 Anrechnung mechanisch betriebener Lüftungsanlagen</t>
  </si>
  <si>
    <t>2.8 Berechnung im Fall gemeinsamer Heizungsanlagen für mehrere Gebäude</t>
  </si>
  <si>
    <t xml:space="preserve">Wird ein zu errichtendes Gebäude mit Wärme aus einer Heizungsanlage versorgt, aus der auch andere Gebäude oder Teile davon Wärme beziehen, ist es abweichend von DIN V 18599: 2011-12 und DIN V 4701-10: 2003-08 zulässig, bei der Berechnung des zu errichtenden Gebäudes eigene zentrale Einrichtungen der Wärmeerzeugung (Wärmeerzeuger, Wärmespeicher, zentrale Warmwasserbereitung) anzunehmen, die hinsichtlich ihrer Bauart, ihres Baualters und ihrer Betriebsweise den gemeinsam genutzten Einrichtungen entsprechen, hinsichtlich ihrer Größe und Leistung jedoch nur auf das zu berechnende Gebäude ausgelegt sind. Soweit dabei zusätzliche Wärmeverteil- und Warmwasserleitungen zur Verbindung der versorgten Gebäude verlegt werden, sind deren Wärmeverluste anteilig zu berücksichtigen. </t>
  </si>
  <si>
    <t xml:space="preserve">Im Rahmen der Berechnung nach Nr. 2 ist bei mechanischen Lüftungsanlagen die Anrechnung der Wärmerückgewinnung oder einer regelungstechnisch verminderten Luftwechselrate nur zulässig, wenn 
     a) die Dichtheit des Gebäudes nach Anlage 4 Nr. 2 nachgewiesen wird und 
     b) der mit Hilfe der Anlage erreichte Luftwechsel § 6 Absatz 2 genügt. 
Die bei der Anrechnung der Wärmerückgewinnung anzusetzenden Kennwerte der Lüftungsanlagen sind nach anerkannten Regeln der Technik zu bestimmen oder den allgemeinen bauaufsichtlichen Zulassungen der verwendeten Produkte zu entnehmen. Lüftungsanlagen müssen mit Einrichtungen ausgestattet sein, die eine Beeinflussung der Luftvolumenströme jeder Nutzeinheit durch den Nutzer erlauben. Es muss sichergestellt sein, dass die aus der Abluft gewonnene Wärme vorrangig vor der vom Heizsystem bereitgestellten Wärme genutzt wird. </t>
  </si>
  <si>
    <t>* Geändert durch DIN V 4108-6 Berichtigung 1 2004-03.</t>
  </si>
  <si>
    <r>
      <t>Bei der Berechnung von aneinandergereihten Gebäuden werden Gebäudetrennwände 
     a) zwischen Gebäuden, die nach ihrem Verwendungszweck auf Innentemperaturen von mindestens 19 Grad Celsius beheizt 
         werden, als nicht wärmedurchlässig angenommen und bei der Ermittlung der wärmeübertragenden Umfassungsfläche A
         nicht berücksichtigt, 
     b) zwischen Wohngebäuden und Gebäuden, die nach ihrem Verwendungszweck auf Innentemperaturen von mindestens 
         12 Grad Celsius und weniger als 19 Grad Celsius beheizt werden, bei der Berechnung des Wärmedurchgangskoeffizienten
         mit einem Temperatur-Korrekturfaktor F</t>
    </r>
    <r>
      <rPr>
        <vertAlign val="subscript"/>
        <sz val="9"/>
        <color theme="1"/>
        <rFont val="Arial"/>
        <family val="2"/>
      </rPr>
      <t>nb</t>
    </r>
    <r>
      <rPr>
        <sz val="9"/>
        <color theme="1"/>
        <rFont val="Arial"/>
        <family val="2"/>
      </rPr>
      <t xml:space="preserve">  nach DIN V 18599-2: 2011-12 oder nach DIN V 4108-6: 2003-06* gewichtet und 
     c) zwischen Wohngebäuden und Gebäuden </t>
    </r>
    <r>
      <rPr>
        <b/>
        <sz val="9"/>
        <color theme="1"/>
        <rFont val="Arial"/>
        <family val="2"/>
      </rPr>
      <t>oder Gebäudeteilen, in denen keine beheizten Räume im Sinne des § 2 
         Nummer 4 vorhanden sind</t>
    </r>
    <r>
      <rPr>
        <sz val="9"/>
        <color theme="1"/>
        <rFont val="Arial"/>
        <family val="2"/>
      </rPr>
      <t>, bei der Berechnung des Wärmedurchgangskoeffizienten mit einem Temperaturfaktor 
         F</t>
    </r>
    <r>
      <rPr>
        <vertAlign val="subscript"/>
        <sz val="9"/>
        <color theme="1"/>
        <rFont val="Arial"/>
        <family val="2"/>
      </rPr>
      <t>u</t>
    </r>
    <r>
      <rPr>
        <sz val="9"/>
        <color theme="1"/>
        <rFont val="Arial"/>
        <family val="2"/>
      </rPr>
      <t xml:space="preserve"> = 0,5 gewichtet. 
Werden beheizte Teile eines Gebäudes getrennt berechnet, gilt Satz 1 Buchstabe a sinngemäß für die Trennflächen zwischen den Gebäudeteilen. Werden aneinandergereihte Wohngebäude gleichzeitig erstellt, dürfen sie hinsichtlich der Anforderungen des § 3 
wie ein Gebäude behandelt werden. Die Vorschriften des Abschnitts 5 bleiben unberührt. </t>
    </r>
  </si>
  <si>
    <r>
      <t xml:space="preserve">Bei der Berechnung des Jahres-Primärenergiebedarfs nach Nr. 2.1.1 ist das beheizte Luftvolumen V in m³ gemäß DIN V 18599-1: </t>
    </r>
    <r>
      <rPr>
        <b/>
        <sz val="9"/>
        <color theme="1"/>
        <rFont val="Arial"/>
        <family val="2"/>
      </rPr>
      <t>2011-12</t>
    </r>
    <r>
      <rPr>
        <sz val="9"/>
        <color theme="1"/>
        <rFont val="Arial"/>
        <family val="2"/>
      </rPr>
      <t xml:space="preserve">, bei der Berechnung nach Nr. 2.1.2 gemäß DIN </t>
    </r>
    <r>
      <rPr>
        <b/>
        <sz val="9"/>
        <color theme="1"/>
        <rFont val="Arial"/>
        <family val="2"/>
      </rPr>
      <t>V 4108-6</t>
    </r>
    <r>
      <rPr>
        <sz val="9"/>
        <color theme="1"/>
        <rFont val="Arial"/>
        <family val="2"/>
      </rPr>
      <t xml:space="preserve">: 2003-06 </t>
    </r>
    <r>
      <rPr>
        <b/>
        <sz val="9"/>
        <color theme="1"/>
        <rFont val="Arial"/>
        <family val="2"/>
      </rPr>
      <t>Abschnitt 6.2*</t>
    </r>
    <r>
      <rPr>
        <sz val="9"/>
        <color theme="1"/>
        <rFont val="Arial"/>
        <family val="2"/>
      </rPr>
      <t xml:space="preserve"> zu ermitteln. Vereinfacht darf es wie folgt berechnet werden: 
     V = 0,76 V</t>
    </r>
    <r>
      <rPr>
        <vertAlign val="subscript"/>
        <sz val="9"/>
        <color theme="1"/>
        <rFont val="Arial"/>
        <family val="2"/>
      </rPr>
      <t>e</t>
    </r>
    <r>
      <rPr>
        <sz val="9"/>
        <color theme="1"/>
        <rFont val="Arial"/>
        <family val="2"/>
      </rPr>
      <t xml:space="preserve"> in m³ bei Wohngebäuden bis zu drei Vollgeschossen 
     V = 0,80 V</t>
    </r>
    <r>
      <rPr>
        <vertAlign val="subscript"/>
        <sz val="9"/>
        <color theme="1"/>
        <rFont val="Arial"/>
        <family val="2"/>
      </rPr>
      <t>e</t>
    </r>
    <r>
      <rPr>
        <sz val="9"/>
        <color theme="1"/>
        <rFont val="Arial"/>
        <family val="2"/>
      </rPr>
      <t xml:space="preserve"> in m³ in den übrigen Fällen 
     mit  V</t>
    </r>
    <r>
      <rPr>
        <vertAlign val="subscript"/>
        <sz val="9"/>
        <color theme="1"/>
        <rFont val="Arial"/>
        <family val="2"/>
      </rPr>
      <t>e</t>
    </r>
    <r>
      <rPr>
        <sz val="9"/>
        <color theme="1"/>
        <rFont val="Arial"/>
        <family val="2"/>
      </rPr>
      <t xml:space="preserve"> beheiztes Gebäudevolumen nach Nr. 1.3.2 in m³. </t>
    </r>
  </si>
  <si>
    <r>
      <t>Der spezifische, auf die wärmeübertragende Umfassungsfläche bezogene Transmissionswärmeverlust H'</t>
    </r>
    <r>
      <rPr>
        <vertAlign val="subscript"/>
        <sz val="9"/>
        <color theme="1"/>
        <rFont val="Arial"/>
        <family val="2"/>
      </rPr>
      <t>T</t>
    </r>
    <r>
      <rPr>
        <sz val="9"/>
        <color theme="1"/>
        <rFont val="Arial"/>
        <family val="2"/>
      </rPr>
      <t xml:space="preserve"> in W/(m²·K) ist wie folgt zu ermitteln: 
     H'</t>
    </r>
    <r>
      <rPr>
        <vertAlign val="subscript"/>
        <sz val="9"/>
        <color theme="1"/>
        <rFont val="Arial"/>
        <family val="2"/>
      </rPr>
      <t>T</t>
    </r>
    <r>
      <rPr>
        <sz val="9"/>
        <color theme="1"/>
        <rFont val="Arial"/>
        <family val="2"/>
      </rPr>
      <t xml:space="preserve"> = H</t>
    </r>
    <r>
      <rPr>
        <vertAlign val="subscript"/>
        <sz val="9"/>
        <color theme="1"/>
        <rFont val="Arial"/>
        <family val="2"/>
      </rPr>
      <t>T</t>
    </r>
    <r>
      <rPr>
        <sz val="9"/>
        <color theme="1"/>
        <rFont val="Arial"/>
        <family val="2"/>
      </rPr>
      <t xml:space="preserve"> / A in W/(m²K)
     mit H</t>
    </r>
    <r>
      <rPr>
        <vertAlign val="subscript"/>
        <sz val="9"/>
        <color theme="1"/>
        <rFont val="Arial"/>
        <family val="2"/>
      </rPr>
      <t>T</t>
    </r>
    <r>
      <rPr>
        <sz val="9"/>
        <color theme="1"/>
        <rFont val="Arial"/>
        <family val="2"/>
      </rPr>
      <t xml:space="preserve"> </t>
    </r>
    <r>
      <rPr>
        <b/>
        <sz val="9"/>
        <color theme="1"/>
        <rFont val="Arial"/>
        <family val="2"/>
      </rPr>
      <t>nach</t>
    </r>
    <r>
      <rPr>
        <sz val="9"/>
        <color theme="1"/>
        <rFont val="Arial"/>
        <family val="2"/>
      </rPr>
      <t xml:space="preserve"> DIN V 4108-6: 2003-06* </t>
    </r>
    <r>
      <rPr>
        <b/>
        <sz val="9"/>
        <color theme="1"/>
        <rFont val="Arial"/>
        <family val="2"/>
      </rPr>
      <t xml:space="preserve">mit den in </t>
    </r>
    <r>
      <rPr>
        <sz val="9"/>
        <color theme="1"/>
        <rFont val="Arial"/>
        <family val="2"/>
      </rPr>
      <t xml:space="preserve">Anhang D.3 genannten Randbedingungen berechneter 
          Transmissionswärmeverlust in W/K; 
          A wärmeübertragende Umfassungsfläche nach Nr. 1.3.1 in m². 
</t>
    </r>
    <r>
      <rPr>
        <b/>
        <sz val="9"/>
        <color theme="1"/>
        <rFont val="Arial"/>
        <family val="2"/>
      </rPr>
      <t xml:space="preserve">Die in Nummer 2.1.1 Tabelle 3 angegebenen Randbedingungen sind anzuwenden. </t>
    </r>
  </si>
  <si>
    <r>
      <t xml:space="preserve">Bei Wohngebäuden ist der Energiebedarf für Warmwasser in der Berechnung des Jahres-Primärenergiebedarfs wie folgt zu berücksichtigen: 
     a) Bei der Berechnung gemäß Nr. 2.1.1 ist der Nutzenergiebedarf für Warmwasser nach Tabelle </t>
    </r>
    <r>
      <rPr>
        <b/>
        <sz val="9"/>
        <color theme="1"/>
        <rFont val="Arial"/>
        <family val="2"/>
      </rPr>
      <t>4</t>
    </r>
    <r>
      <rPr>
        <sz val="9"/>
        <color theme="1"/>
        <rFont val="Arial"/>
        <family val="2"/>
      </rPr>
      <t xml:space="preserve"> der DIN V 18599-10:</t>
    </r>
    <r>
      <rPr>
        <b/>
        <sz val="9"/>
        <color theme="1"/>
        <rFont val="Arial"/>
        <family val="2"/>
      </rPr>
      <t xml:space="preserve">
         2011-12 </t>
    </r>
    <r>
      <rPr>
        <sz val="9"/>
        <color theme="1"/>
        <rFont val="Arial"/>
        <family val="2"/>
      </rPr>
      <t>anzusetzen. 
     b) Bei der Berechnung gemäß Nr. 2.1.2 ist der Nutzwärmebedarf für die Warmwasserbereitung Q</t>
    </r>
    <r>
      <rPr>
        <vertAlign val="subscript"/>
        <sz val="9"/>
        <color theme="1"/>
        <rFont val="Arial"/>
        <family val="2"/>
      </rPr>
      <t>W</t>
    </r>
    <r>
      <rPr>
        <sz val="9"/>
        <color theme="1"/>
        <rFont val="Arial"/>
        <family val="2"/>
      </rPr>
      <t xml:space="preserve"> im Sinne von DIN V 4701-10:
         2003-08 mit 12,5 kWh/(m²a) anzusetzen. </t>
    </r>
  </si>
  <si>
    <r>
      <t xml:space="preserve">2.1.3 Werden in Wohngebäude bauliche oder anlagentechnische Komponenten eingesetzt, für deren energetische Bewertung </t>
    </r>
    <r>
      <rPr>
        <b/>
        <sz val="9"/>
        <color theme="1"/>
        <rFont val="Arial"/>
        <family val="2"/>
      </rPr>
      <t>weder</t>
    </r>
    <r>
      <rPr>
        <sz val="9"/>
        <color theme="1"/>
        <rFont val="Arial"/>
        <family val="2"/>
      </rPr>
      <t xml:space="preserve"> anerkannte Regeln der Technik </t>
    </r>
    <r>
      <rPr>
        <b/>
        <sz val="9"/>
        <color theme="1"/>
        <rFont val="Arial"/>
        <family val="2"/>
      </rPr>
      <t>noch</t>
    </r>
    <r>
      <rPr>
        <sz val="9"/>
        <color theme="1"/>
        <rFont val="Arial"/>
        <family val="2"/>
      </rPr>
      <t xml:space="preserve"> gemäß § 9 Absatz 2 Satz 2 </t>
    </r>
    <r>
      <rPr>
        <b/>
        <sz val="9"/>
        <color theme="1"/>
        <rFont val="Arial"/>
        <family val="2"/>
      </rPr>
      <t xml:space="preserve">dritter Teilsatz </t>
    </r>
    <r>
      <rPr>
        <sz val="9"/>
        <color theme="1"/>
        <rFont val="Arial"/>
        <family val="2"/>
      </rPr>
      <t>bekannt gemachte gesicherte Erfahrungswerte vorliegen,</t>
    </r>
    <r>
      <rPr>
        <b/>
        <sz val="9"/>
        <color theme="1"/>
        <rFont val="Arial"/>
        <family val="2"/>
      </rPr>
      <t xml:space="preserve"> so dürfen die energetischen Eigenschaften dieser Komponenten unter Verwendung derselben Randbedingungen wie in den Berechnungsverfahren nach Nummer 2.1.1 beziehungsweise Nummer 2.1.2 durch dynamisch-thermische Simulationsrechnungen ermittelt werden. </t>
    </r>
  </si>
  <si>
    <r>
      <t>2.1.2 Alternativ zu Nummer 2.1.1 kann der Jahres-Primärenergiebedarf Q</t>
    </r>
    <r>
      <rPr>
        <vertAlign val="subscript"/>
        <sz val="9"/>
        <color theme="1"/>
        <rFont val="Arial"/>
        <family val="2"/>
      </rPr>
      <t>p</t>
    </r>
    <r>
      <rPr>
        <sz val="9"/>
        <color theme="1"/>
        <rFont val="Arial"/>
        <family val="2"/>
      </rPr>
      <t xml:space="preserve"> für Wohngebäude, </t>
    </r>
    <r>
      <rPr>
        <b/>
        <sz val="9"/>
        <color theme="1"/>
        <rFont val="Arial"/>
        <family val="2"/>
      </rPr>
      <t>die nicht gekühlt werden</t>
    </r>
    <r>
      <rPr>
        <sz val="9"/>
        <color theme="1"/>
        <rFont val="Arial"/>
        <family val="2"/>
      </rPr>
      <t xml:space="preserve">, nach DIN V 4108-6: 2003-06* und DIN V 4701-10: 2003-08, geändert durch A1: </t>
    </r>
    <r>
      <rPr>
        <b/>
        <sz val="9"/>
        <color theme="1"/>
        <rFont val="Arial"/>
        <family val="2"/>
      </rPr>
      <t>2012-07</t>
    </r>
    <r>
      <rPr>
        <sz val="9"/>
        <color theme="1"/>
        <rFont val="Arial"/>
        <family val="2"/>
      </rPr>
      <t>, ermittelt werden. Nummer 2.1.1 Satz</t>
    </r>
    <r>
      <rPr>
        <b/>
        <sz val="9"/>
        <color theme="1"/>
        <rFont val="Arial"/>
        <family val="2"/>
      </rPr>
      <t xml:space="preserve"> 2</t>
    </r>
    <r>
      <rPr>
        <sz val="9"/>
        <color theme="1"/>
        <rFont val="Arial"/>
        <family val="2"/>
      </rPr>
      <t xml:space="preserve"> bis 6 ist entsprechend anzuwenden. Der in diesem Rechengang zu bestimmende Jahres-Heizwärmebedarf Q</t>
    </r>
    <r>
      <rPr>
        <vertAlign val="subscript"/>
        <sz val="9"/>
        <color theme="1"/>
        <rFont val="Arial"/>
        <family val="2"/>
      </rPr>
      <t>h</t>
    </r>
    <r>
      <rPr>
        <sz val="9"/>
        <color theme="1"/>
        <rFont val="Arial"/>
        <family val="2"/>
      </rPr>
      <t xml:space="preserve"> ist nach dem Monatsbilanzverfahren nach DIN V 4108-6: 2003-06* mit den dort in Anhang D.3 genannten Randbedingungen zu ermitteln.</t>
    </r>
    <r>
      <rPr>
        <b/>
        <sz val="9"/>
        <color theme="1"/>
        <rFont val="Arial"/>
        <family val="2"/>
      </rPr>
      <t xml:space="preserve"> Als Referenzklima ist abweichend von DIN V 4108-6: 2003-06* das Klima nach DIN V 18599-10: 2011-12 Abschnitt 7.1 (Region Potsdam) zu verwenden.</t>
    </r>
    <r>
      <rPr>
        <sz val="9"/>
        <color theme="1"/>
        <rFont val="Arial"/>
        <family val="2"/>
      </rPr>
      <t xml:space="preserve"> Zur Berücksichtigung von Lüftungsanlagen mit Wärmerückgewinnung sind die methodischen Hinweise 
in</t>
    </r>
    <r>
      <rPr>
        <b/>
        <sz val="9"/>
        <color theme="1"/>
        <rFont val="Arial"/>
        <family val="2"/>
      </rPr>
      <t xml:space="preserve"> Abschnitt 4.1</t>
    </r>
    <r>
      <rPr>
        <sz val="9"/>
        <color theme="1"/>
        <rFont val="Arial"/>
        <family val="2"/>
      </rPr>
      <t xml:space="preserve"> der DIN V 4701-10: 2003-08 zu beachten. </t>
    </r>
  </si>
  <si>
    <t>DIN EN ISO 10456 : 2010-05 - sonstige Baustoffe, z.B. Holz</t>
  </si>
  <si>
    <r>
      <t xml:space="preserve">EnEV 2014 </t>
    </r>
    <r>
      <rPr>
        <sz val="9"/>
        <color theme="1"/>
        <rFont val="Arial"/>
        <family val="2"/>
      </rPr>
      <t>16.10.2013</t>
    </r>
  </si>
  <si>
    <t>Prüfung Format: ok</t>
  </si>
  <si>
    <t>Dateiname Gebäude &lt;*.xml&gt;</t>
  </si>
  <si>
    <t>Dateiname des zu erzeugenden Ausweises &lt;*.pdf&gt;</t>
  </si>
  <si>
    <t>Dateiname Gebäudefoto z.B. &lt;*.jpg&gt;</t>
  </si>
  <si>
    <t>Dateiname Ausstellerlogo z.B. &lt;*.jpg&gt;</t>
  </si>
  <si>
    <t>Dateiname Unterschrift z.B. &lt;*.jpg&gt;</t>
  </si>
  <si>
    <t>Verzeichnis der xml-, pdf- und Graphikdateien</t>
  </si>
  <si>
    <r>
      <t xml:space="preserve">Jahres-Primärenergiebedarf des </t>
    </r>
    <r>
      <rPr>
        <b/>
        <sz val="10"/>
        <rFont val="Arial"/>
        <family val="2"/>
      </rPr>
      <t>Referenzgebäudes</t>
    </r>
  </si>
  <si>
    <r>
      <rPr>
        <b/>
        <sz val="10"/>
        <rFont val="Arial"/>
        <family val="2"/>
      </rPr>
      <t>zulässiger</t>
    </r>
    <r>
      <rPr>
        <sz val="10"/>
        <rFont val="Arial"/>
        <family val="2"/>
      </rPr>
      <t xml:space="preserve"> Jahres-Primärenergiebedarf</t>
    </r>
  </si>
  <si>
    <r>
      <t>q*</t>
    </r>
    <r>
      <rPr>
        <vertAlign val="subscript"/>
        <sz val="10"/>
        <color theme="1"/>
        <rFont val="Arial"/>
        <family val="2"/>
      </rPr>
      <t>TW</t>
    </r>
  </si>
  <si>
    <r>
      <t>Σ(q*</t>
    </r>
    <r>
      <rPr>
        <vertAlign val="subscript"/>
        <sz val="10"/>
        <color theme="1"/>
        <rFont val="Arial"/>
        <family val="2"/>
      </rPr>
      <t>TW</t>
    </r>
    <r>
      <rPr>
        <sz val="10"/>
        <color theme="1"/>
        <rFont val="Arial"/>
        <family val="2"/>
      </rPr>
      <t xml:space="preserve"> * α</t>
    </r>
    <r>
      <rPr>
        <vertAlign val="subscript"/>
        <sz val="10"/>
        <color theme="1"/>
        <rFont val="Arial"/>
        <family val="2"/>
      </rPr>
      <t>TW,g,i</t>
    </r>
    <r>
      <rPr>
        <sz val="10"/>
        <color theme="1"/>
        <rFont val="Arial"/>
        <family val="2"/>
      </rPr>
      <t xml:space="preserve"> * e</t>
    </r>
    <r>
      <rPr>
        <vertAlign val="subscript"/>
        <sz val="10"/>
        <color theme="1"/>
        <rFont val="Arial"/>
        <family val="2"/>
      </rPr>
      <t>TW,g,i</t>
    </r>
    <r>
      <rPr>
        <sz val="10"/>
        <color theme="1"/>
        <rFont val="Arial"/>
        <family val="2"/>
      </rPr>
      <t>)</t>
    </r>
  </si>
  <si>
    <t>Summe Wärmegewinn transparente Bauteile und intern</t>
  </si>
  <si>
    <r>
      <t>q*</t>
    </r>
    <r>
      <rPr>
        <vertAlign val="subscript"/>
        <sz val="10"/>
        <color theme="1"/>
        <rFont val="Arial"/>
        <family val="2"/>
      </rPr>
      <t>h</t>
    </r>
  </si>
  <si>
    <r>
      <t>Q</t>
    </r>
    <r>
      <rPr>
        <vertAlign val="subscript"/>
        <sz val="10"/>
        <color theme="1"/>
        <rFont val="Arial"/>
        <family val="2"/>
      </rPr>
      <t>TW,P</t>
    </r>
    <r>
      <rPr>
        <sz val="10"/>
        <color theme="1"/>
        <rFont val="Arial"/>
        <family val="2"/>
      </rPr>
      <t xml:space="preserve"> =</t>
    </r>
  </si>
  <si>
    <r>
      <t>Q</t>
    </r>
    <r>
      <rPr>
        <vertAlign val="subscript"/>
        <sz val="10"/>
        <color theme="1"/>
        <rFont val="Arial"/>
        <family val="2"/>
      </rPr>
      <t>H,P</t>
    </r>
    <r>
      <rPr>
        <sz val="10"/>
        <color theme="1"/>
        <rFont val="Arial"/>
        <family val="2"/>
      </rPr>
      <t xml:space="preserve"> =</t>
    </r>
  </si>
  <si>
    <r>
      <t>Q</t>
    </r>
    <r>
      <rPr>
        <vertAlign val="subscript"/>
        <sz val="10"/>
        <color theme="1"/>
        <rFont val="Arial"/>
        <family val="2"/>
      </rPr>
      <t>L,P</t>
    </r>
    <r>
      <rPr>
        <sz val="10"/>
        <color theme="1"/>
        <rFont val="Arial"/>
        <family val="2"/>
      </rPr>
      <t xml:space="preserve"> =</t>
    </r>
  </si>
  <si>
    <t>horizontale Verteilung außerhalb Hülle, Verteilungsstränge außenliegend, geregelte Pumpen</t>
  </si>
  <si>
    <t>horizontale Verteilung außerhalb Hülle, Verteilungsstränge innenliegend, geregelte Pumpen</t>
  </si>
  <si>
    <t>horizontale Verteilung innerhalb Hülle, Verteilungsstränge außenliegend, geregelte Pumpen</t>
  </si>
  <si>
    <t>horizontale Verteilung innerhalb Hülle, Verteilungsstränge innenliegend, geregelte Pumpen</t>
  </si>
  <si>
    <t>horizontale Verteilung außerhalb Hülle, Verteilungsstränge außenliegend, ungeregelte Pumpen</t>
  </si>
  <si>
    <t>horizontale Verteilung außerhalb Hülle, Verteilungsstränge innenliegend, ungeregelte Pumpen</t>
  </si>
  <si>
    <t>horizontale Verteilung innerhalb Hülle, Verteilungsstränge außenliegend, ungeregelte Pumpen</t>
  </si>
  <si>
    <t>horizontale Verteilung innerhalb Hülle, Verteilungsstränge innenliegend, ungeregelte Pumpen</t>
  </si>
  <si>
    <t>- (keine Speicherung)</t>
  </si>
  <si>
    <t>- (keine Lüftungsanlage)</t>
  </si>
  <si>
    <t>BW-Kessel 55/45°C</t>
  </si>
  <si>
    <t>AbZuluft 60%, dezentral</t>
  </si>
  <si>
    <t>NT-Kessel, 55/45°C</t>
  </si>
  <si>
    <t>TW solar</t>
  </si>
  <si>
    <t>Abluft ohne WRG</t>
  </si>
  <si>
    <t>Hinweis: Berichtigung 2013 wurde nicht von EnEV in Bezug genommen!</t>
  </si>
  <si>
    <t>spezifische Werte (Flächenbezug) [W/m²] und Tabellen vereinfachte Randbedingungen</t>
  </si>
  <si>
    <t>Zusammenstellung der Berechnungsgrößen</t>
  </si>
  <si>
    <t>Bezeichnung des Gebäudes (Objekt)</t>
  </si>
  <si>
    <t>Gebäudeadresse Postleitzahl und Ort</t>
  </si>
  <si>
    <t>Nutzfläche</t>
  </si>
  <si>
    <t>flächenbezogene Werte</t>
  </si>
  <si>
    <t>Jahres-Endenergiebedarf</t>
  </si>
  <si>
    <t>Jahres-Hilfsenergiebedarf</t>
  </si>
  <si>
    <t>Jahres-Primärenergiebedarf</t>
  </si>
  <si>
    <t>zulässiger Anforderungswert</t>
  </si>
  <si>
    <t>Jahres-Endenergiebedarf (ohne Hilfsenergie)</t>
  </si>
  <si>
    <t>PLZ und Ort</t>
  </si>
  <si>
    <t>Energieausweis Aussteller</t>
  </si>
  <si>
    <t>Gebäudebeschreibung</t>
  </si>
  <si>
    <t>Bauherr</t>
  </si>
  <si>
    <t>Gemarkung und Flurstücknummer</t>
  </si>
  <si>
    <t>Energieausweis und Bearbeitung</t>
  </si>
  <si>
    <t>Bearbeiter</t>
  </si>
  <si>
    <t>Datum</t>
  </si>
  <si>
    <t>Unterschrift</t>
  </si>
  <si>
    <t>Kellerdecke (unbeh. Keller mit Perimeterdämmung)</t>
  </si>
  <si>
    <t>Kellerdecke (unbeh. Keller ohne Perimeterdämmung)</t>
  </si>
  <si>
    <t>Fußboden auf Erdreich, waager. Randdämmung 5 m</t>
  </si>
  <si>
    <t>Fußboden auf Erdreich, senkr. Randdämmung 2 m</t>
  </si>
  <si>
    <t>DIN EN ISO 6946 : 2008-04 Anhang C Berechnung des Wärmedurchgangskoeffizienten von Bauteilen und keilförmigen Schichten</t>
  </si>
  <si>
    <t>nur Fall C.2.1 Rechteckige Fläche</t>
  </si>
  <si>
    <t>1 Putze, Mörtel, Estriche</t>
  </si>
  <si>
    <t>5 Wärmedämmstoffe DIN4108-4 Tab2</t>
  </si>
  <si>
    <t>3 Bauplatten</t>
  </si>
  <si>
    <t>1 Putze, Mörtel, Estriche DIN4108-4 Tab1</t>
  </si>
  <si>
    <t>4 Mauerwerk DIN4108-4 Tab1</t>
  </si>
  <si>
    <t>10,19 * 7,99</t>
  </si>
  <si>
    <t>2 * 2,73 * 7,99 + 2 * 2,73 * 10,19</t>
  </si>
  <si>
    <t>Endenergie ohne Hilfsenergie QWE,E'' [kWh/(m²a)]</t>
  </si>
  <si>
    <t>Endenergie nur Hilfsenergie QHE,E'' [kWh/(m²a)]</t>
  </si>
  <si>
    <t>qWEE</t>
  </si>
  <si>
    <t>qHEE</t>
  </si>
  <si>
    <t>eP</t>
  </si>
  <si>
    <t>qP</t>
  </si>
  <si>
    <r>
      <t>A</t>
    </r>
    <r>
      <rPr>
        <vertAlign val="subscript"/>
        <sz val="10"/>
        <color theme="1"/>
        <rFont val="Arial"/>
        <family val="2"/>
      </rPr>
      <t>N</t>
    </r>
    <r>
      <rPr>
        <sz val="10"/>
        <color theme="1"/>
        <rFont val="Arial"/>
        <family val="2"/>
      </rPr>
      <t xml:space="preserve"> [m²] = </t>
    </r>
  </si>
  <si>
    <r>
      <t>Q</t>
    </r>
    <r>
      <rPr>
        <vertAlign val="subscript"/>
        <sz val="10"/>
        <color theme="1"/>
        <rFont val="Arial"/>
        <family val="2"/>
      </rPr>
      <t>h</t>
    </r>
    <r>
      <rPr>
        <sz val="10"/>
        <color theme="1"/>
        <rFont val="Arial"/>
        <family val="2"/>
      </rPr>
      <t xml:space="preserve"> [kWh/a] = </t>
    </r>
  </si>
  <si>
    <r>
      <t>Q</t>
    </r>
    <r>
      <rPr>
        <vertAlign val="subscript"/>
        <sz val="10"/>
        <color theme="1"/>
        <rFont val="Arial"/>
        <family val="2"/>
      </rPr>
      <t>WE,E</t>
    </r>
    <r>
      <rPr>
        <sz val="10"/>
        <color theme="1"/>
        <rFont val="Arial"/>
        <family val="2"/>
      </rPr>
      <t xml:space="preserve"> [kWh/a] = </t>
    </r>
  </si>
  <si>
    <r>
      <t>Q</t>
    </r>
    <r>
      <rPr>
        <vertAlign val="subscript"/>
        <sz val="10"/>
        <color theme="1"/>
        <rFont val="Arial"/>
        <family val="2"/>
      </rPr>
      <t>HE,E</t>
    </r>
    <r>
      <rPr>
        <sz val="10"/>
        <color theme="1"/>
        <rFont val="Arial"/>
        <family val="2"/>
      </rPr>
      <t xml:space="preserve"> [kWh/a] = </t>
    </r>
  </si>
  <si>
    <r>
      <t>e</t>
    </r>
    <r>
      <rPr>
        <vertAlign val="subscript"/>
        <sz val="10"/>
        <color theme="1"/>
        <rFont val="Arial"/>
        <family val="2"/>
      </rPr>
      <t>P</t>
    </r>
    <r>
      <rPr>
        <sz val="10"/>
        <color theme="1"/>
        <rFont val="Arial"/>
        <family val="2"/>
      </rPr>
      <t xml:space="preserve"> [-] = </t>
    </r>
  </si>
  <si>
    <r>
      <t>Q</t>
    </r>
    <r>
      <rPr>
        <vertAlign val="subscript"/>
        <sz val="10"/>
        <color theme="1"/>
        <rFont val="Arial"/>
        <family val="2"/>
      </rPr>
      <t>P,max</t>
    </r>
    <r>
      <rPr>
        <sz val="10"/>
        <color theme="1"/>
        <rFont val="Arial"/>
        <family val="2"/>
      </rPr>
      <t xml:space="preserve"> [kWh/a] = </t>
    </r>
  </si>
  <si>
    <r>
      <t>H</t>
    </r>
    <r>
      <rPr>
        <vertAlign val="subscript"/>
        <sz val="10"/>
        <color theme="1"/>
        <rFont val="Arial"/>
        <family val="2"/>
      </rPr>
      <t>T</t>
    </r>
    <r>
      <rPr>
        <sz val="10"/>
        <color theme="1"/>
        <rFont val="Arial"/>
        <family val="2"/>
      </rPr>
      <t>'</t>
    </r>
    <r>
      <rPr>
        <vertAlign val="subscript"/>
        <sz val="10"/>
        <color theme="1"/>
        <rFont val="Arial"/>
        <family val="2"/>
      </rPr>
      <t>max</t>
    </r>
    <r>
      <rPr>
        <sz val="10"/>
        <color theme="1"/>
        <rFont val="Arial"/>
        <family val="2"/>
      </rPr>
      <t xml:space="preserve"> [W/(m²K)] = </t>
    </r>
  </si>
  <si>
    <t>Anlage 10 Einteilung in Energieeffizienzklassen</t>
  </si>
  <si>
    <t>EnEV 2014 16.10.2013 - Anlage 10 Einteilung in Energieeffizienzklassen</t>
  </si>
  <si>
    <t xml:space="preserve">Die  Energieeffizienzklassen  ergeben  sich  gemäß  der  nachfolgenden  Tabelle  unmittelbar aus dem Endenergieverbrauch oder dem Endenergiebedarf. </t>
  </si>
  <si>
    <t>Energieeffinzienzklasse</t>
  </si>
  <si>
    <t>Endenergie [kWh/(m²a)]</t>
  </si>
  <si>
    <t>A+</t>
  </si>
  <si>
    <t>E</t>
  </si>
  <si>
    <t>F</t>
  </si>
  <si>
    <t>H</t>
  </si>
  <si>
    <t>&lt; 30</t>
  </si>
  <si>
    <t>&lt; 50</t>
  </si>
  <si>
    <t>&lt; 75</t>
  </si>
  <si>
    <t>&lt; 100</t>
  </si>
  <si>
    <t>&lt; 130</t>
  </si>
  <si>
    <t>&lt; 160</t>
  </si>
  <si>
    <t>&lt; 250</t>
  </si>
  <si>
    <t>&gt;= 250</t>
  </si>
  <si>
    <t>0,27 * (1,50+1,32)/2*2</t>
  </si>
  <si>
    <t>Bezeichnung Anlage</t>
  </si>
  <si>
    <t>diese Bezeichnung erscheint auf Blatt Gebauede</t>
  </si>
  <si>
    <r>
      <t>U</t>
    </r>
    <r>
      <rPr>
        <vertAlign val="subscript"/>
        <sz val="9"/>
        <rFont val="Arial"/>
        <family val="2"/>
      </rPr>
      <t>i</t>
    </r>
    <r>
      <rPr>
        <sz val="9"/>
        <rFont val="Arial"/>
        <family val="2"/>
      </rPr>
      <t xml:space="preserve"> * A</t>
    </r>
    <r>
      <rPr>
        <vertAlign val="subscript"/>
        <sz val="9"/>
        <rFont val="Arial"/>
        <family val="2"/>
      </rPr>
      <t>i</t>
    </r>
    <r>
      <rPr>
        <sz val="9"/>
        <rFont val="Arial"/>
        <family val="2"/>
      </rPr>
      <t xml:space="preserve"> * F</t>
    </r>
    <r>
      <rPr>
        <vertAlign val="subscript"/>
        <sz val="9"/>
        <rFont val="Arial"/>
        <family val="2"/>
      </rPr>
      <t>x,i</t>
    </r>
    <r>
      <rPr>
        <sz val="9"/>
        <rFont val="Arial"/>
        <family val="2"/>
      </rPr>
      <t xml:space="preserve"> [W/K]</t>
    </r>
  </si>
  <si>
    <t>homogen</t>
  </si>
  <si>
    <t>Gefälle</t>
  </si>
  <si>
    <t>Wärmedurchgangswiderstand</t>
  </si>
  <si>
    <t>Wärmeduchgangskoeffizient inkl. keilförmige Schicht</t>
  </si>
  <si>
    <t>U = 1 / R =</t>
  </si>
  <si>
    <t>Das Verfahren gilt nicht für Fälle,  bei  denen  das  Verhältnis  des  oberen  Grenzwertes  des  Wärmedurchgangwiderstandes  zum  unteren Grenzwert  des  Wärmedurchgangwiderstandes  mehr  als  1,5  beträgt.</t>
  </si>
  <si>
    <t>dto., unterer Grenzwert</t>
  </si>
  <si>
    <r>
      <t xml:space="preserve">R = Rsi + </t>
    </r>
    <r>
      <rPr>
        <sz val="9"/>
        <rFont val="Symbol"/>
        <family val="1"/>
        <charset val="2"/>
      </rPr>
      <t>∑</t>
    </r>
    <r>
      <rPr>
        <sz val="9"/>
        <rFont val="Arial"/>
        <family val="2"/>
      </rPr>
      <t xml:space="preserve"> di / </t>
    </r>
    <r>
      <rPr>
        <sz val="9"/>
        <rFont val="Symbol"/>
        <family val="1"/>
        <charset val="2"/>
      </rPr>
      <t>λ</t>
    </r>
    <r>
      <rPr>
        <sz val="9"/>
        <rFont val="Arial"/>
        <family val="2"/>
      </rPr>
      <t>i + Rse =</t>
    </r>
  </si>
  <si>
    <r>
      <t>R</t>
    </r>
    <r>
      <rPr>
        <vertAlign val="subscript"/>
        <sz val="9"/>
        <rFont val="Arial"/>
        <family val="2"/>
      </rPr>
      <t>0</t>
    </r>
    <r>
      <rPr>
        <sz val="9"/>
        <rFont val="Arial"/>
        <family val="2"/>
      </rPr>
      <t xml:space="preserve"> = Rsi + ∑ d</t>
    </r>
    <r>
      <rPr>
        <vertAlign val="subscript"/>
        <sz val="9"/>
        <rFont val="Arial"/>
        <family val="2"/>
      </rPr>
      <t>i</t>
    </r>
    <r>
      <rPr>
        <sz val="9"/>
        <rFont val="Arial"/>
        <family val="2"/>
      </rPr>
      <t xml:space="preserve"> / λ</t>
    </r>
    <r>
      <rPr>
        <vertAlign val="subscript"/>
        <sz val="9"/>
        <rFont val="Arial"/>
        <family val="2"/>
      </rPr>
      <t>i</t>
    </r>
    <r>
      <rPr>
        <sz val="9"/>
        <rFont val="Arial"/>
        <family val="2"/>
      </rPr>
      <t xml:space="preserve"> + R</t>
    </r>
    <r>
      <rPr>
        <vertAlign val="subscript"/>
        <sz val="9"/>
        <rFont val="Arial"/>
        <family val="2"/>
      </rPr>
      <t>se</t>
    </r>
    <r>
      <rPr>
        <sz val="9"/>
        <rFont val="Arial"/>
        <family val="2"/>
      </rPr>
      <t xml:space="preserve"> =</t>
    </r>
  </si>
  <si>
    <t>Wärmedurchgangswiderstand, oberer Grenzw.</t>
  </si>
  <si>
    <t>Wärmedurchgangswiderstand ohne keilförmige Schicht</t>
  </si>
  <si>
    <t>max. Wärmeduchlasswiderstand der keilförmigen Schicht</t>
  </si>
  <si>
    <t>Waermeerzeuger-Bauweise1</t>
  </si>
  <si>
    <t>Nennleistung1</t>
  </si>
  <si>
    <t>Waermeerzeuger-Baujahr1</t>
  </si>
  <si>
    <t>Anzahl-baugleiche1</t>
  </si>
  <si>
    <t>Energietraeger1</t>
  </si>
  <si>
    <t>Primaerenergiefaktor1</t>
  </si>
  <si>
    <t>Waermeerzeuger-Bauweise2</t>
  </si>
  <si>
    <t>Nennleistung2</t>
  </si>
  <si>
    <t>Waermeerzeuger-Baujahr2</t>
  </si>
  <si>
    <t>Anzahl-baugleiche2</t>
  </si>
  <si>
    <t>Energietraeger2</t>
  </si>
  <si>
    <t>Primaerenergiefaktor2</t>
  </si>
  <si>
    <t>Anzahl-baugleicheWW1</t>
  </si>
  <si>
    <t>Anzahl-baugleicheWW2</t>
  </si>
  <si>
    <r>
      <t>R</t>
    </r>
    <r>
      <rPr>
        <vertAlign val="subscript"/>
        <sz val="9"/>
        <rFont val="Arial"/>
        <family val="2"/>
      </rPr>
      <t>2</t>
    </r>
    <r>
      <rPr>
        <sz val="9"/>
        <rFont val="Arial"/>
        <family val="2"/>
      </rPr>
      <t xml:space="preserve"> = d</t>
    </r>
    <r>
      <rPr>
        <vertAlign val="subscript"/>
        <sz val="9"/>
        <rFont val="Arial"/>
        <family val="2"/>
      </rPr>
      <t>max</t>
    </r>
    <r>
      <rPr>
        <sz val="9"/>
        <rFont val="Arial"/>
        <family val="2"/>
      </rPr>
      <t xml:space="preserve"> / λ =</t>
    </r>
  </si>
  <si>
    <r>
      <t>U = 1 / R</t>
    </r>
    <r>
      <rPr>
        <vertAlign val="subscript"/>
        <sz val="9"/>
        <rFont val="Arial"/>
        <family val="2"/>
      </rPr>
      <t>2</t>
    </r>
    <r>
      <rPr>
        <sz val="9"/>
        <rFont val="Arial"/>
        <family val="2"/>
      </rPr>
      <t xml:space="preserve"> ln(1 + R</t>
    </r>
    <r>
      <rPr>
        <vertAlign val="subscript"/>
        <sz val="9"/>
        <rFont val="Arial"/>
        <family val="2"/>
      </rPr>
      <t>2</t>
    </r>
    <r>
      <rPr>
        <sz val="9"/>
        <rFont val="Arial"/>
        <family val="2"/>
      </rPr>
      <t xml:space="preserve"> / R</t>
    </r>
    <r>
      <rPr>
        <vertAlign val="subscript"/>
        <sz val="9"/>
        <rFont val="Arial"/>
        <family val="2"/>
      </rPr>
      <t>0</t>
    </r>
    <r>
      <rPr>
        <sz val="9"/>
        <rFont val="Arial"/>
        <family val="2"/>
      </rPr>
      <t>) =</t>
    </r>
  </si>
  <si>
    <r>
      <t>Ver-schat-tung F</t>
    </r>
    <r>
      <rPr>
        <vertAlign val="subscript"/>
        <sz val="9"/>
        <rFont val="Arial"/>
        <family val="2"/>
      </rPr>
      <t>s</t>
    </r>
    <r>
      <rPr>
        <sz val="9"/>
        <rFont val="Arial"/>
        <family val="2"/>
      </rPr>
      <t xml:space="preserve"> [-]</t>
    </r>
  </si>
  <si>
    <r>
      <t>Rah-men F</t>
    </r>
    <r>
      <rPr>
        <vertAlign val="subscript"/>
        <sz val="9"/>
        <rFont val="Arial"/>
        <family val="2"/>
      </rPr>
      <t>F</t>
    </r>
    <r>
      <rPr>
        <sz val="9"/>
        <rFont val="Arial"/>
        <family val="2"/>
      </rPr>
      <t xml:space="preserve"> [-]</t>
    </r>
  </si>
  <si>
    <r>
      <t>Verschat-tung F</t>
    </r>
    <r>
      <rPr>
        <vertAlign val="subscript"/>
        <sz val="9"/>
        <rFont val="Arial"/>
        <family val="2"/>
      </rPr>
      <t>s</t>
    </r>
    <r>
      <rPr>
        <sz val="9"/>
        <rFont val="Arial"/>
        <family val="2"/>
      </rPr>
      <t xml:space="preserve"> [-]</t>
    </r>
  </si>
  <si>
    <r>
      <rPr>
        <sz val="9"/>
        <color theme="1"/>
        <rFont val="Symbol"/>
        <family val="1"/>
        <charset val="2"/>
      </rPr>
      <t>a</t>
    </r>
    <r>
      <rPr>
        <sz val="9"/>
        <color theme="1"/>
        <rFont val="Arial"/>
        <family val="2"/>
      </rPr>
      <t>- / g-Wert
[-]</t>
    </r>
  </si>
  <si>
    <t>Hinweistexte ein-/ausblenden</t>
  </si>
  <si>
    <t>- nach unten gegen Aussenluft</t>
  </si>
  <si>
    <t>- seitlich gegen Erdreich</t>
  </si>
  <si>
    <t>- nach unten gegen Räume mit anderen Innentemperaturen</t>
  </si>
  <si>
    <t>- nach unten gegen Erdreich</t>
  </si>
  <si>
    <t>Abseitenwand</t>
  </si>
  <si>
    <t>Innenbauteil</t>
  </si>
  <si>
    <t>Decke über Außenluft</t>
  </si>
  <si>
    <t>2.1.11 Decken nach unten gegen Außenluft (Durchfahrten, Erker)</t>
  </si>
  <si>
    <t>- nach oben gegen Aussenluft.</t>
  </si>
  <si>
    <t>- nach oben gegen Räume mit anderen Innentemperaturen</t>
  </si>
  <si>
    <t>(Sortierung gemäß Vorgabe)</t>
  </si>
  <si>
    <t>- seitlich gegen Aussenluft je nach Orientierung</t>
  </si>
  <si>
    <t>- seitlich gegen Räume mit anderen Innentemperaturen</t>
  </si>
  <si>
    <t>- nach oben</t>
  </si>
  <si>
    <t>- je nach Orientierung</t>
  </si>
  <si>
    <t xml:space="preserve">Fläche bzw. Flächensumme in m² </t>
  </si>
  <si>
    <t xml:space="preserve">sowie U-Wert in W/m²K der Bauteile </t>
  </si>
  <si>
    <t xml:space="preserve">sowie U-Wert in W/m²K </t>
  </si>
  <si>
    <t xml:space="preserve">und g-Wert der transparenten Bauteile </t>
  </si>
  <si>
    <t>Nutzername DIBt</t>
  </si>
  <si>
    <t>Passwort DIBt</t>
  </si>
  <si>
    <t>Musteranlage</t>
  </si>
  <si>
    <t>Berechnungsfall Bauteil:</t>
  </si>
  <si>
    <t>Erfordert die Einrichtung eines Gebühren-Kontingents beim Deutschen Institut für Bautechnik DIBt.</t>
  </si>
  <si>
    <t>Außenwand Kalksandstein mit WDVS</t>
  </si>
  <si>
    <t>4.2  Mauerwerk Kalksandsteine - rho 2000  [1,1]</t>
  </si>
  <si>
    <t>5.2 Expand. Polystyrols. (EPS) [0,032] (Expandierter Polystyrolschaum)</t>
  </si>
  <si>
    <t>3 Bauplatten DIN4108-4 Tab1</t>
  </si>
  <si>
    <t>Erdberührte Außenwand</t>
  </si>
  <si>
    <t>4.2  Mauerwerk Kalksandsteine - rho 2200  [1,3]</t>
  </si>
  <si>
    <t>5.2 Expand. Polystyrols. (EPS) [0,035] (Expandierter Polystyrolschaum)</t>
  </si>
  <si>
    <t>Erdberührter Kellerfußboden</t>
  </si>
  <si>
    <t>1.3.2  Zement-Estrich  [1,4]</t>
  </si>
  <si>
    <t>5.2 Expand. Polystyrols. (EPS) [0,04] (Expandierter Polystyrolschaum)</t>
  </si>
  <si>
    <t>3.5 Beton armiert (mit 1 % Stahl) - rho 2300 [2,3]</t>
  </si>
  <si>
    <t>Kehlbalkenlage</t>
  </si>
  <si>
    <t>Wärmestrom aufwärts - stark belüftet (Rse=Rsi)</t>
  </si>
  <si>
    <t>5.1 Mineralwolle (MW) [0,035]</t>
  </si>
  <si>
    <t>Dachschräge</t>
  </si>
  <si>
    <t>Musterhausen, 321</t>
  </si>
  <si>
    <t>M. Musterbauherr</t>
  </si>
  <si>
    <t>Objektstraße 12</t>
  </si>
  <si>
    <t>12345 Musterhausen</t>
  </si>
  <si>
    <t>Musterhausen</t>
  </si>
  <si>
    <t>M.</t>
  </si>
  <si>
    <t>Dipl.-Ing.</t>
  </si>
  <si>
    <t>Ausstellerstadt</t>
  </si>
  <si>
    <t>10,19 * 7,99 * 2,73_x000D_
+ 10,23 * 8,03 * 2,81
+ 10,23 * 8,03 * 1,17
+ (8,03+5,03)/2 * 1,68 * 10,23_x000D_
+ 1,48 * 2,63 * 1,32/2 * 2
+ (2,63+2,27)/2 * 0,20 * 1,32 * 2_x000D_
+ (2,63+2,27)/2 * 0,20 * 0,18/2 * 2</t>
  </si>
  <si>
    <t>KG_x000D_
EG_x000D_
OG Drempel_x000D_
OG Schräge_x000D_
Gaube Teil1 * 2 für Nord/Süd_x000D_
Gaube Teil2_x000D_
Gaube Teil3</t>
  </si>
  <si>
    <t>10,23 * 3,98_x000D_
+ 2,63 * 1,48 + (2,27+2,63)/2 * 0,20</t>
  </si>
  <si>
    <t>EG_x000D_
OG Gaube</t>
  </si>
  <si>
    <t>8,03 * 3,98_x000D_
+ 1,68 * (8,03+5,03)/2_x000D_
+ 2*(1,52 * 1,32/2)</t>
  </si>
  <si>
    <t>EG_x000D_
OG Giebel_x000D_
OG Gaube</t>
  </si>
  <si>
    <t>10,23 * 3,98_x000D_
+ 2,63 * 1,48 + (2,27+2,63)/2 * 0,2</t>
  </si>
  <si>
    <t>1,0*1,75 + 0,5*1,5 + 1,0*1,5_x000D_
+ 1,0*1,5</t>
  </si>
  <si>
    <t>EG_x000D_
OG</t>
  </si>
  <si>
    <t>2*1,5*2,54 + 1,0*2,54_x000D_
+ 1,0*1,5</t>
  </si>
  <si>
    <t>1,0*1,5 + 1,0*2,54_x000D_
+ 1,0*1,5 + 1,5*1,5</t>
  </si>
  <si>
    <t>Schräge_x000D_
abzüglich Gaube</t>
  </si>
  <si>
    <t>10,23 * 5,03_x000D_
+ 2,27 * 1,50 * 2</t>
  </si>
  <si>
    <t>Spitzboden_x000D_
Gauben</t>
  </si>
  <si>
    <t>Tabelle 3 - Berechnungswerte der Temperatur-Korrekturfaktoren von Bauteilen</t>
  </si>
  <si>
    <t>DIN V 4108-6 : 2003-06 - Tabelle 3 - Berechnungswerte der Temperatur-Korrekturfaktoren von Bauteilen</t>
  </si>
  <si>
    <t>Wärmestrom nach außen über</t>
  </si>
  <si>
    <t>Außenwand, Fenster, Decke über Außenluft</t>
  </si>
  <si>
    <t>Dach (als Systemgrenze)</t>
  </si>
  <si>
    <t>Dachgeschossdecke (Dachraum nicht ausgebaut)</t>
  </si>
  <si>
    <t>Wände und Decken zu Abseiten (Drempel)</t>
  </si>
  <si>
    <t>Wände und Decken zu unbeheizten Räumen</t>
  </si>
  <si>
    <r>
      <t xml:space="preserve">Wände und Decken zu niedrig beheizten Räumen </t>
    </r>
    <r>
      <rPr>
        <vertAlign val="superscript"/>
        <sz val="9"/>
        <color theme="1"/>
        <rFont val="Arial"/>
        <family val="2"/>
      </rPr>
      <t>e</t>
    </r>
  </si>
  <si>
    <t>Wände und Fenster zu unhezeitem Glasvorbau bei einer Verglasung des Glasvorbaus mit:</t>
  </si>
  <si>
    <t>- Einfachverglasung</t>
  </si>
  <si>
    <t>- Zweischeibenverglasung</t>
  </si>
  <si>
    <t>- Wärmeschutzverglasung</t>
  </si>
  <si>
    <r>
      <t>F</t>
    </r>
    <r>
      <rPr>
        <vertAlign val="subscript"/>
        <sz val="9"/>
        <color theme="1"/>
        <rFont val="Arial"/>
        <family val="2"/>
      </rPr>
      <t>e</t>
    </r>
  </si>
  <si>
    <r>
      <t>F</t>
    </r>
    <r>
      <rPr>
        <vertAlign val="subscript"/>
        <sz val="9"/>
        <color theme="1"/>
        <rFont val="Arial"/>
        <family val="2"/>
      </rPr>
      <t>D</t>
    </r>
  </si>
  <si>
    <r>
      <t>F</t>
    </r>
    <r>
      <rPr>
        <vertAlign val="subscript"/>
        <sz val="9"/>
        <color theme="1"/>
        <rFont val="Arial"/>
        <family val="2"/>
      </rPr>
      <t>u</t>
    </r>
  </si>
  <si>
    <r>
      <t>F</t>
    </r>
    <r>
      <rPr>
        <vertAlign val="subscript"/>
        <sz val="9"/>
        <color theme="1"/>
        <rFont val="Arial"/>
        <family val="2"/>
      </rPr>
      <t>nb</t>
    </r>
  </si>
  <si>
    <t>Bauteile des unteren Gebäudeabschlusses</t>
  </si>
  <si>
    <t>Fächen des beheizten Kellers</t>
  </si>
  <si>
    <t>- Fußboden des beheizten Kellers</t>
  </si>
  <si>
    <t>- Wand des beheizten Kellers</t>
  </si>
  <si>
    <r>
      <t>F</t>
    </r>
    <r>
      <rPr>
        <vertAlign val="subscript"/>
        <sz val="9"/>
        <color theme="1"/>
        <rFont val="Arial"/>
        <family val="2"/>
      </rPr>
      <t>G</t>
    </r>
    <r>
      <rPr>
        <sz val="9"/>
        <color theme="1"/>
        <rFont val="Arial"/>
        <family val="2"/>
      </rPr>
      <t xml:space="preserve"> = F</t>
    </r>
    <r>
      <rPr>
        <vertAlign val="subscript"/>
        <sz val="9"/>
        <color theme="1"/>
        <rFont val="Arial"/>
        <family val="2"/>
      </rPr>
      <t>bf</t>
    </r>
  </si>
  <si>
    <r>
      <t>F</t>
    </r>
    <r>
      <rPr>
        <vertAlign val="subscript"/>
        <sz val="9"/>
        <color theme="1"/>
        <rFont val="Arial"/>
        <family val="2"/>
      </rPr>
      <t>G</t>
    </r>
    <r>
      <rPr>
        <sz val="9"/>
        <color theme="1"/>
        <rFont val="Arial"/>
        <family val="2"/>
      </rPr>
      <t xml:space="preserve"> = F</t>
    </r>
    <r>
      <rPr>
        <vertAlign val="subscript"/>
        <sz val="9"/>
        <color theme="1"/>
        <rFont val="Arial"/>
        <family val="2"/>
      </rPr>
      <t>bw</t>
    </r>
  </si>
  <si>
    <r>
      <t xml:space="preserve">B' </t>
    </r>
    <r>
      <rPr>
        <b/>
        <vertAlign val="superscript"/>
        <sz val="9"/>
        <color theme="1"/>
        <rFont val="Arial"/>
        <family val="2"/>
      </rPr>
      <t>a</t>
    </r>
    <r>
      <rPr>
        <b/>
        <sz val="9"/>
        <color theme="1"/>
        <rFont val="Arial"/>
        <family val="2"/>
      </rPr>
      <t xml:space="preserve"> [m]</t>
    </r>
  </si>
  <si>
    <t>&lt; 5</t>
  </si>
  <si>
    <t>5 bis 10</t>
  </si>
  <si>
    <t>&gt; 10</t>
  </si>
  <si>
    <t>&lt;= 1</t>
  </si>
  <si>
    <t>&gt; 1</t>
  </si>
  <si>
    <r>
      <t>R</t>
    </r>
    <r>
      <rPr>
        <b/>
        <vertAlign val="subscript"/>
        <sz val="9"/>
        <color theme="1"/>
        <rFont val="Arial"/>
        <family val="2"/>
      </rPr>
      <t>f</t>
    </r>
    <r>
      <rPr>
        <b/>
        <sz val="9"/>
        <color theme="1"/>
        <rFont val="Arial"/>
        <family val="2"/>
      </rPr>
      <t xml:space="preserve"> bzw. R</t>
    </r>
    <r>
      <rPr>
        <b/>
        <vertAlign val="subscript"/>
        <sz val="9"/>
        <color theme="1"/>
        <rFont val="Arial"/>
        <family val="2"/>
      </rPr>
      <t>w</t>
    </r>
    <r>
      <rPr>
        <b/>
        <sz val="9"/>
        <color theme="1"/>
        <rFont val="Arial"/>
        <family val="2"/>
      </rPr>
      <t xml:space="preserve"> </t>
    </r>
    <r>
      <rPr>
        <b/>
        <vertAlign val="superscript"/>
        <sz val="9"/>
        <color theme="1"/>
        <rFont val="Arial"/>
        <family val="2"/>
      </rPr>
      <t xml:space="preserve">b </t>
    </r>
    <r>
      <rPr>
        <b/>
        <sz val="9"/>
        <color theme="1"/>
        <rFont val="Arial"/>
        <family val="2"/>
      </rPr>
      <t>[m²K/W]</t>
    </r>
  </si>
  <si>
    <r>
      <t xml:space="preserve">Fußboden </t>
    </r>
    <r>
      <rPr>
        <vertAlign val="superscript"/>
        <sz val="9"/>
        <color theme="1"/>
        <rFont val="Arial"/>
        <family val="2"/>
      </rPr>
      <t>c</t>
    </r>
    <r>
      <rPr>
        <sz val="9"/>
        <color theme="1"/>
        <rFont val="Arial"/>
        <family val="2"/>
      </rPr>
      <t xml:space="preserve"> auf dem Erdreich</t>
    </r>
  </si>
  <si>
    <t>- ohne Randdämmung</t>
  </si>
  <si>
    <t>Kellerdecke und Kellerinnenwand</t>
  </si>
  <si>
    <t>- zum unbeheizten Keller mit Perimeterdämmung</t>
  </si>
  <si>
    <t>- zum unbeheizten Keller ohne Perimeterdämmung</t>
  </si>
  <si>
    <r>
      <t>F</t>
    </r>
    <r>
      <rPr>
        <vertAlign val="subscript"/>
        <sz val="9"/>
        <color theme="1"/>
        <rFont val="Arial"/>
        <family val="2"/>
      </rPr>
      <t>G</t>
    </r>
  </si>
  <si>
    <r>
      <t xml:space="preserve">Bodenpatte von niedrig beheizten Räumen </t>
    </r>
    <r>
      <rPr>
        <vertAlign val="superscript"/>
        <sz val="9"/>
        <color theme="1"/>
        <rFont val="Arial"/>
        <family val="2"/>
      </rPr>
      <t>e</t>
    </r>
  </si>
  <si>
    <r>
      <t xml:space="preserve">- mit Randdämmung </t>
    </r>
    <r>
      <rPr>
        <vertAlign val="superscript"/>
        <sz val="9"/>
        <color theme="1"/>
        <rFont val="Arial"/>
        <family val="2"/>
      </rPr>
      <t>d</t>
    </r>
    <r>
      <rPr>
        <sz val="9"/>
        <color theme="1"/>
        <rFont val="Arial"/>
        <family val="2"/>
      </rPr>
      <t xml:space="preserve"> 5 m breit, waagerecht</t>
    </r>
  </si>
  <si>
    <r>
      <t xml:space="preserve">- mit Randdämmung </t>
    </r>
    <r>
      <rPr>
        <vertAlign val="superscript"/>
        <sz val="9"/>
        <color theme="1"/>
        <rFont val="Arial"/>
        <family val="2"/>
      </rPr>
      <t>d</t>
    </r>
    <r>
      <rPr>
        <sz val="9"/>
        <color theme="1"/>
        <rFont val="Arial"/>
        <family val="2"/>
      </rPr>
      <t xml:space="preserve"> 2 m tief, senkrecht</t>
    </r>
  </si>
  <si>
    <r>
      <t>F</t>
    </r>
    <r>
      <rPr>
        <b/>
        <vertAlign val="subscript"/>
        <sz val="9"/>
        <color theme="1"/>
        <rFont val="Arial"/>
        <family val="2"/>
      </rPr>
      <t>x</t>
    </r>
  </si>
  <si>
    <r>
      <t xml:space="preserve">Temperatur-Korrekturfaktor </t>
    </r>
    <r>
      <rPr>
        <b/>
        <vertAlign val="superscript"/>
        <sz val="9"/>
        <color theme="1"/>
        <rFont val="Arial"/>
        <family val="2"/>
      </rPr>
      <t>f</t>
    </r>
  </si>
  <si>
    <t>a)</t>
  </si>
  <si>
    <r>
      <t>R</t>
    </r>
    <r>
      <rPr>
        <vertAlign val="subscript"/>
        <sz val="9"/>
        <color theme="1"/>
        <rFont val="Arial"/>
        <family val="2"/>
      </rPr>
      <t>f</t>
    </r>
    <r>
      <rPr>
        <sz val="9"/>
        <color theme="1"/>
        <rFont val="Arial"/>
        <family val="2"/>
      </rPr>
      <t xml:space="preserve">  : Wärmedurchlasswiderstand der Bodenplatte; (betrifft Zeile 10, 12, 18) bzw.</t>
    </r>
  </si>
  <si>
    <r>
      <t>B' = A</t>
    </r>
    <r>
      <rPr>
        <vertAlign val="subscript"/>
        <sz val="9"/>
        <color theme="1"/>
        <rFont val="Arial"/>
        <family val="2"/>
      </rPr>
      <t>G</t>
    </r>
    <r>
      <rPr>
        <sz val="9"/>
        <color theme="1"/>
        <rFont val="Arial"/>
        <family val="2"/>
      </rPr>
      <t xml:space="preserve">  / (0,5 P) nach Gleichung (E.3);</t>
    </r>
  </si>
  <si>
    <r>
      <t>R</t>
    </r>
    <r>
      <rPr>
        <vertAlign val="subscript"/>
        <sz val="9"/>
        <color theme="1"/>
        <rFont val="Arial"/>
        <family val="2"/>
      </rPr>
      <t>w</t>
    </r>
    <r>
      <rPr>
        <sz val="9"/>
        <color theme="1"/>
        <rFont val="Arial"/>
        <family val="2"/>
      </rPr>
      <t xml:space="preserve"> : Wärmedurchlasswiderstand der Kellerwand; (betrifft Zeile 11);</t>
    </r>
  </si>
  <si>
    <r>
      <t>ggf. flächengewichtete Mittelung von R</t>
    </r>
    <r>
      <rPr>
        <vertAlign val="subscript"/>
        <sz val="9"/>
        <color theme="1"/>
        <rFont val="Arial"/>
        <family val="2"/>
      </rPr>
      <t>f</t>
    </r>
    <r>
      <rPr>
        <sz val="9"/>
        <color theme="1"/>
        <rFont val="Arial"/>
        <family val="2"/>
      </rPr>
      <t xml:space="preserve"> und R</t>
    </r>
    <r>
      <rPr>
        <vertAlign val="subscript"/>
        <sz val="9"/>
        <color theme="1"/>
        <rFont val="Arial"/>
        <family val="2"/>
      </rPr>
      <t>w</t>
    </r>
    <r>
      <rPr>
        <sz val="9"/>
        <color theme="1"/>
        <rFont val="Arial"/>
        <family val="2"/>
      </rPr>
      <t xml:space="preserve">  (betrifft Zeile 10, 11)</t>
    </r>
  </si>
  <si>
    <t>Bei fließendem Grundwasser erhöhen sich die Temperatur-Korrekturfaktoren um 15% .</t>
  </si>
  <si>
    <t>Bei einem Wärmedurchlasswiderstand der Randdämmung &gt; 2 m²⋅K/W; Bodenplatte ungedämmt;</t>
  </si>
  <si>
    <t>siehe auch Bild 2 und 3 in DIN EN ISO 13370:1998-12;</t>
  </si>
  <si>
    <t>Räume mit Innentemperaturen zwischen 12 °C und 19 °C;</t>
  </si>
  <si>
    <t>Die Werte (außer Zeile 6 und 12-14) gelten analog auch für Flächen niedrig beheizter Räume.</t>
  </si>
  <si>
    <t>f)</t>
  </si>
  <si>
    <t>d)</t>
  </si>
  <si>
    <t>e)</t>
  </si>
  <si>
    <t>c)</t>
  </si>
  <si>
    <t>b)</t>
  </si>
  <si>
    <t>Anlage 11 - Brennwert-Kessel (AN &lt; 500 m²)</t>
  </si>
  <si>
    <t>Anlage 12 - Brennwert-Kessel</t>
  </si>
  <si>
    <r>
      <t>f</t>
    </r>
    <r>
      <rPr>
        <vertAlign val="subscript"/>
        <sz val="10"/>
        <rFont val="Arial"/>
        <family val="2"/>
      </rPr>
      <t>G</t>
    </r>
    <r>
      <rPr>
        <sz val="10"/>
        <rFont val="Arial"/>
        <family val="2"/>
      </rPr>
      <t xml:space="preserve"> = 0,32 wenn 2,5 </t>
    </r>
    <r>
      <rPr>
        <u/>
        <sz val="10"/>
        <rFont val="Arial"/>
        <family val="2"/>
      </rPr>
      <t>&lt;</t>
    </r>
    <r>
      <rPr>
        <sz val="10"/>
        <rFont val="Arial"/>
        <family val="2"/>
      </rPr>
      <t xml:space="preserve"> h</t>
    </r>
    <r>
      <rPr>
        <vertAlign val="subscript"/>
        <sz val="10"/>
        <rFont val="Arial"/>
        <family val="2"/>
      </rPr>
      <t>G</t>
    </r>
    <r>
      <rPr>
        <sz val="10"/>
        <rFont val="Arial"/>
        <family val="2"/>
      </rPr>
      <t xml:space="preserve"> </t>
    </r>
    <r>
      <rPr>
        <u/>
        <sz val="10"/>
        <rFont val="Arial"/>
        <family val="2"/>
      </rPr>
      <t>&lt;</t>
    </r>
    <r>
      <rPr>
        <sz val="10"/>
        <rFont val="Arial"/>
        <family val="2"/>
      </rPr>
      <t xml:space="preserve"> 3 sonst = 1/h</t>
    </r>
    <r>
      <rPr>
        <vertAlign val="subscript"/>
        <sz val="10"/>
        <rFont val="Arial"/>
        <family val="2"/>
      </rPr>
      <t>G</t>
    </r>
    <r>
      <rPr>
        <sz val="10"/>
        <rFont val="Arial"/>
        <family val="2"/>
      </rPr>
      <t xml:space="preserve"> - 0,04 m</t>
    </r>
    <r>
      <rPr>
        <vertAlign val="superscript"/>
        <sz val="10"/>
        <rFont val="Arial"/>
        <family val="2"/>
      </rPr>
      <t>-1</t>
    </r>
  </si>
  <si>
    <r>
      <t xml:space="preserve">Lüftungswärmeverlust </t>
    </r>
    <r>
      <rPr>
        <b/>
        <sz val="10"/>
        <rFont val="Symbol"/>
        <family val="1"/>
        <charset val="2"/>
      </rPr>
      <t>f</t>
    </r>
    <r>
      <rPr>
        <b/>
        <vertAlign val="subscript"/>
        <sz val="10"/>
        <rFont val="Arial"/>
        <family val="2"/>
      </rPr>
      <t>L</t>
    </r>
    <r>
      <rPr>
        <sz val="8"/>
        <rFont val="Arial"/>
        <family val="2"/>
      </rPr>
      <t xml:space="preserve"> </t>
    </r>
  </si>
  <si>
    <r>
      <rPr>
        <sz val="10"/>
        <rFont val="Symbol"/>
        <family val="1"/>
        <charset val="2"/>
      </rPr>
      <t>f</t>
    </r>
    <r>
      <rPr>
        <vertAlign val="subscript"/>
        <sz val="10"/>
        <rFont val="Arial"/>
        <family val="2"/>
      </rPr>
      <t>L</t>
    </r>
    <r>
      <rPr>
        <sz val="10"/>
        <rFont val="Arial"/>
        <family val="2"/>
      </rPr>
      <t xml:space="preserve"> = max(</t>
    </r>
    <r>
      <rPr>
        <sz val="10"/>
        <rFont val="Symbol"/>
        <family val="1"/>
        <charset val="2"/>
      </rPr>
      <t>f</t>
    </r>
    <r>
      <rPr>
        <vertAlign val="subscript"/>
        <sz val="10"/>
        <rFont val="Arial"/>
        <family val="2"/>
      </rPr>
      <t>L,hyg</t>
    </r>
    <r>
      <rPr>
        <sz val="10"/>
        <rFont val="Arial"/>
        <family val="2"/>
      </rPr>
      <t xml:space="preserve">; </t>
    </r>
    <r>
      <rPr>
        <sz val="10"/>
        <rFont val="Symbol"/>
        <family val="1"/>
        <charset val="2"/>
      </rPr>
      <t>f</t>
    </r>
    <r>
      <rPr>
        <vertAlign val="subscript"/>
        <sz val="10"/>
        <rFont val="Arial"/>
        <family val="2"/>
      </rPr>
      <t>L,inf</t>
    </r>
    <r>
      <rPr>
        <sz val="10"/>
        <rFont val="Arial"/>
        <family val="2"/>
      </rPr>
      <t>) [W] =</t>
    </r>
  </si>
  <si>
    <r>
      <t>opake Bauteile: Eingabe U-Wert</t>
    </r>
    <r>
      <rPr>
        <sz val="11"/>
        <color theme="1"/>
        <rFont val="Arial"/>
        <family val="2"/>
      </rPr>
      <t xml:space="preserve"> (Absorptionsgrad fest </t>
    </r>
    <r>
      <rPr>
        <sz val="11"/>
        <color theme="1"/>
        <rFont val="Symbol"/>
        <family val="1"/>
        <charset val="2"/>
      </rPr>
      <t xml:space="preserve">a </t>
    </r>
    <r>
      <rPr>
        <sz val="11"/>
        <color theme="1"/>
        <rFont val="Arial"/>
        <family val="2"/>
      </rPr>
      <t>= 0,5)</t>
    </r>
  </si>
  <si>
    <t>4 Anlagenbewertung nach DIN V 4701-10 - Musteranlage</t>
  </si>
  <si>
    <t>Auswahl Stoff ein-/ausblenden</t>
  </si>
  <si>
    <t>Trinkwassererwärmung</t>
  </si>
  <si>
    <t>Heizwärmebedarf</t>
  </si>
  <si>
    <r>
      <t>Q</t>
    </r>
    <r>
      <rPr>
        <vertAlign val="subscript"/>
        <sz val="10"/>
        <rFont val="Arial"/>
        <family val="2"/>
      </rPr>
      <t>g,M</t>
    </r>
    <r>
      <rPr>
        <sz val="10"/>
        <rFont val="Arial"/>
        <family val="2"/>
      </rPr>
      <t xml:space="preserve"> = Q</t>
    </r>
    <r>
      <rPr>
        <vertAlign val="subscript"/>
        <sz val="10"/>
        <rFont val="Arial"/>
        <family val="2"/>
      </rPr>
      <t>s,t,M</t>
    </r>
    <r>
      <rPr>
        <sz val="10"/>
        <rFont val="Arial"/>
        <family val="2"/>
      </rPr>
      <t xml:space="preserve"> + Q</t>
    </r>
    <r>
      <rPr>
        <vertAlign val="subscript"/>
        <sz val="10"/>
        <rFont val="Arial"/>
        <family val="2"/>
      </rPr>
      <t>i,M</t>
    </r>
    <r>
      <rPr>
        <sz val="10"/>
        <rFont val="Arial"/>
        <family val="2"/>
      </rPr>
      <t xml:space="preserve"> [kWh/a] =</t>
    </r>
  </si>
  <si>
    <t>Wärmeverlust abzüglich solare Gewinne opake Bauteile</t>
  </si>
  <si>
    <r>
      <t>Q</t>
    </r>
    <r>
      <rPr>
        <vertAlign val="subscript"/>
        <sz val="10"/>
        <rFont val="Arial"/>
        <family val="2"/>
      </rPr>
      <t>l*,M</t>
    </r>
    <r>
      <rPr>
        <sz val="10"/>
        <rFont val="Arial"/>
        <family val="2"/>
      </rPr>
      <t xml:space="preserve"> = Q</t>
    </r>
    <r>
      <rPr>
        <vertAlign val="subscript"/>
        <sz val="10"/>
        <rFont val="Arial"/>
        <family val="2"/>
      </rPr>
      <t>l,NA.M</t>
    </r>
    <r>
      <rPr>
        <sz val="10"/>
        <rFont val="Arial"/>
        <family val="2"/>
      </rPr>
      <t xml:space="preserve"> - Q</t>
    </r>
    <r>
      <rPr>
        <vertAlign val="subscript"/>
        <sz val="10"/>
        <rFont val="Arial"/>
        <family val="2"/>
      </rPr>
      <t>s,op,M</t>
    </r>
    <r>
      <rPr>
        <sz val="10"/>
        <rFont val="Arial"/>
        <family val="2"/>
      </rPr>
      <t xml:space="preserve"> [kWh/a] =</t>
    </r>
  </si>
  <si>
    <r>
      <rPr>
        <sz val="10"/>
        <rFont val="Symbol"/>
        <family val="1"/>
        <charset val="2"/>
      </rPr>
      <t>g</t>
    </r>
    <r>
      <rPr>
        <vertAlign val="subscript"/>
        <sz val="10"/>
        <rFont val="Arial"/>
        <family val="2"/>
      </rPr>
      <t>M</t>
    </r>
    <r>
      <rPr>
        <sz val="10"/>
        <rFont val="Arial"/>
        <family val="2"/>
      </rPr>
      <t xml:space="preserve"> = Q</t>
    </r>
    <r>
      <rPr>
        <vertAlign val="subscript"/>
        <sz val="10"/>
        <rFont val="Arial"/>
        <family val="2"/>
      </rPr>
      <t>g,M</t>
    </r>
    <r>
      <rPr>
        <sz val="10"/>
        <rFont val="Arial"/>
        <family val="2"/>
      </rPr>
      <t xml:space="preserve"> / Q</t>
    </r>
    <r>
      <rPr>
        <vertAlign val="subscript"/>
        <sz val="10"/>
        <rFont val="Arial"/>
        <family val="2"/>
      </rPr>
      <t>l*,M</t>
    </r>
    <r>
      <rPr>
        <sz val="10"/>
        <rFont val="Arial"/>
        <family val="2"/>
      </rPr>
      <t xml:space="preserve"> [-] =</t>
    </r>
  </si>
  <si>
    <t>solare Wärmegewinne über opake Bauteile - Außenwand</t>
  </si>
  <si>
    <t>solare Wärmegewinne über opake Bauteile - Außentür</t>
  </si>
  <si>
    <t>solare Wärmegewinne über opake Bauteile - Dach</t>
  </si>
  <si>
    <t>Einfluss der Nachtabsenkung auf Wärmeverlust</t>
  </si>
  <si>
    <t>interne Wärmegewinne</t>
  </si>
  <si>
    <t>Gewinne und Bedarf</t>
  </si>
  <si>
    <t>Wärmeschutz und Energie-Einsparung in Gebäuden - Teil 6: Berechnung des Jahresheizwärme- und des Jahresheizenergiebedarfs</t>
  </si>
  <si>
    <r>
      <t xml:space="preserve">DIN V </t>
    </r>
    <r>
      <rPr>
        <b/>
        <sz val="9"/>
        <color theme="1"/>
        <rFont val="Arial"/>
        <family val="2"/>
      </rPr>
      <t>4108-6</t>
    </r>
    <r>
      <rPr>
        <sz val="9"/>
        <color theme="1"/>
        <rFont val="Arial"/>
        <family val="2"/>
      </rPr>
      <t xml:space="preserve"> : 2003-06</t>
    </r>
  </si>
  <si>
    <t xml:space="preserve">Hinweis: Die Wärmerückgewinnung bei Zu- und Abluftanlagen wird rechnerisch nach DIN V 4701-10 berücksichtigt. </t>
  </si>
  <si>
    <r>
      <t>Über die Angabe q</t>
    </r>
    <r>
      <rPr>
        <vertAlign val="subscript"/>
        <sz val="10"/>
        <color theme="0" tint="-0.34998626667073579"/>
        <rFont val="Arial"/>
        <family val="2"/>
      </rPr>
      <t>L,G,WE</t>
    </r>
    <r>
      <rPr>
        <sz val="10"/>
        <color theme="0" tint="-0.34998626667073579"/>
        <rFont val="Arial"/>
        <family val="2"/>
      </rPr>
      <t xml:space="preserve"> (Tabelle C2-3a der DIN V 4701-10) können</t>
    </r>
  </si>
  <si>
    <t>die unterschiedlichen Rückgewinnungsgrade (60% / 80%) berücksichtigt werden.</t>
  </si>
  <si>
    <t>Hinweis: PDF-Datei darf nicht geöffnet sein bei 'Vorschau pdf' oder 'Registrierung'.</t>
  </si>
  <si>
    <t>1 Dateien und Verzeichnisse</t>
  </si>
  <si>
    <t>3 Energieausweis Daten</t>
  </si>
  <si>
    <t>4 Wohngebäude</t>
  </si>
  <si>
    <t>5 Bedarfsdaten DIN V 4108 / DIN V 4701</t>
  </si>
  <si>
    <t>6 Hüllflächendaten</t>
  </si>
  <si>
    <t>7 Hüllflächendaten - Wärmebrücken</t>
  </si>
  <si>
    <t>8 Luftdichtheit und Gewinne</t>
  </si>
  <si>
    <t>9 Heizanlage</t>
  </si>
  <si>
    <t>11 Ergebnisse</t>
  </si>
  <si>
    <t>2 Gebäudebezogene Daten</t>
  </si>
  <si>
    <t>12 Modernisierungsempfehlungen und Programmversion</t>
  </si>
  <si>
    <t>Fußboden auf Erdr. ohne Randdämmung</t>
  </si>
  <si>
    <t>Fußboden auf Erdr., waager. Randdäm. 5 m</t>
  </si>
  <si>
    <t>Fußboden auf Erdr., senkr. Randdäm. 2 m</t>
  </si>
  <si>
    <t>Kellerdecke, unbeh. Keller ohne Perimeterdäm.</t>
  </si>
  <si>
    <t>Kellerdecke, unbeh. Keller mit Perimeterdäm.</t>
  </si>
  <si>
    <t>Kellerinnenwand, unbeh. Keller mit Perimeterdäm.</t>
  </si>
  <si>
    <t>Kellerinnenwand, unbeh. Keller ohne Perimeterdäm.</t>
  </si>
  <si>
    <t>Rsi+Rse</t>
  </si>
  <si>
    <t>Beispielgebäude Wohnhaus</t>
  </si>
  <si>
    <r>
      <t>F</t>
    </r>
    <r>
      <rPr>
        <vertAlign val="subscript"/>
        <sz val="10"/>
        <color theme="0" tint="-0.34998626667073579"/>
        <rFont val="Arial"/>
        <family val="2"/>
      </rPr>
      <t>GT</t>
    </r>
    <r>
      <rPr>
        <sz val="10"/>
        <color theme="0" tint="-0.34998626667073579"/>
        <rFont val="Arial"/>
        <family val="2"/>
      </rPr>
      <t xml:space="preserve"> =</t>
    </r>
  </si>
  <si>
    <t>Name kurz neu</t>
  </si>
  <si>
    <t>BW + Solar</t>
  </si>
  <si>
    <t>BW + Solar + LA mit WRG</t>
  </si>
  <si>
    <t>BW + LA mit WRG</t>
  </si>
  <si>
    <t>NT + Solar</t>
  </si>
  <si>
    <t>WP (Sole)</t>
  </si>
  <si>
    <t>WP (Sole) + LA mit WRG</t>
  </si>
  <si>
    <t>WP (Luft)</t>
  </si>
  <si>
    <t>WP (Luft) + LA mit WRG</t>
  </si>
  <si>
    <t>BW (&lt;= 500 m²)</t>
  </si>
  <si>
    <t>BW (alle m²)</t>
  </si>
  <si>
    <t>Hinweis: Anzahl Wohneinheiten wird nicht (mehr) für die Berechnung benötigt, aber für Energieausweis.</t>
  </si>
  <si>
    <t>Σ Endenergie WÄRME</t>
  </si>
  <si>
    <t>Σ Endenergie HILFSENERGIE</t>
  </si>
  <si>
    <t>Abschnitt C.2-3a</t>
  </si>
  <si>
    <t>Abschnitt C.2-3b</t>
  </si>
  <si>
    <t>Art der Belüftung (Fensterlüftung/Abluftanlage oder Zu-/Abluftanlage mit WRG)</t>
  </si>
  <si>
    <r>
      <t>c)</t>
    </r>
    <r>
      <rPr>
        <b/>
        <sz val="10"/>
        <color rgb="FF0070C0"/>
        <rFont val="Arial"/>
        <family val="2"/>
      </rPr>
      <t xml:space="preserve"> EnEV 2014 (Anlage 1, Abschnitt 2.1.1): </t>
    </r>
  </si>
  <si>
    <r>
      <t>2.1.1 Der Jahres-Primärenergiebedarf Q p ist nach DIN V 18599:</t>
    </r>
    <r>
      <rPr>
        <b/>
        <sz val="9"/>
        <color theme="1"/>
        <rFont val="Arial"/>
        <family val="2"/>
      </rPr>
      <t xml:space="preserve"> 2011-12, berichtigt durch DIN V 18599-5 Berichtigung 1: 2013-05 und durch DIN V 18599-8 Berichtigung 1: 2013-05</t>
    </r>
    <r>
      <rPr>
        <sz val="9"/>
        <color theme="1"/>
        <rFont val="Arial"/>
        <family val="2"/>
      </rPr>
      <t xml:space="preserve">, für Wohngebäude zu ermitteln. </t>
    </r>
    <r>
      <rPr>
        <sz val="9"/>
        <color rgb="FF0070C0"/>
        <rFont val="Arial"/>
        <family val="2"/>
      </rPr>
      <t xml:space="preserve">Als Primärenergiefaktoren sind die Werte für den nicht erneuerbaren Anteil nach DIN V 18599-1: </t>
    </r>
    <r>
      <rPr>
        <b/>
        <sz val="9"/>
        <color rgb="FF0070C0"/>
        <rFont val="Arial"/>
        <family val="2"/>
      </rPr>
      <t>2011-12</t>
    </r>
    <r>
      <rPr>
        <sz val="9"/>
        <color rgb="FF0070C0"/>
        <rFont val="Arial"/>
        <family val="2"/>
      </rPr>
      <t xml:space="preserve"> zu verwenden. </t>
    </r>
    <r>
      <rPr>
        <sz val="9"/>
        <color theme="1"/>
        <rFont val="Arial"/>
        <family val="2"/>
      </rPr>
      <t>Dabei sind für flüssige Biomasse der Wert für den nicht erneuerbaren Anteil „Heizöl EL“ und für gasförmige Biomasse der Wert für den nicht erneuerbaren Anteil „Erdgas H“ zu verwenden. Für flüssige oder gasförmige Biomasse im Sinne des § 2 Absatz 1 Nummer 4 des Erneuerbare-Energien-Wärmegesetzes kann für den nicht erneuerbaren Anteil der Wert 0,5 verwendet werden, wenn die flüssige oder gasförmige Biomasse im unmittelbaren räumlichen Zusammenhang mit dem Gebäude erzeugt wird. Satz 4 ist entsprechend auf Gebäude anzuwenden, die im räumlichen Zusammenhang zueinander stehen und unmittelbar gemeinsam mit flüssiger oder gasförmiger Biomasse im Sinne des § 2 Absatz 1 Nummer 4 des Erneuerbare-Energien-Wärmegesetzes versorgt werden.</t>
    </r>
    <r>
      <rPr>
        <sz val="9"/>
        <color rgb="FFC00000"/>
        <rFont val="Arial"/>
        <family val="2"/>
      </rPr>
      <t xml:space="preserve"> </t>
    </r>
    <r>
      <rPr>
        <sz val="9"/>
        <color rgb="FF0070C0"/>
        <rFont val="Arial"/>
        <family val="2"/>
      </rPr>
      <t xml:space="preserve">Für elektrischen Strom ist abweichend von Satz 2 als Primärenergiefaktor für den nicht erneuerbaren Anteil </t>
    </r>
    <r>
      <rPr>
        <b/>
        <sz val="9"/>
        <color rgb="FF0070C0"/>
        <rFont val="Arial"/>
        <family val="2"/>
      </rPr>
      <t>ab dem 1. Januar 2016</t>
    </r>
    <r>
      <rPr>
        <sz val="9"/>
        <color rgb="FF0070C0"/>
        <rFont val="Arial"/>
        <family val="2"/>
      </rPr>
      <t xml:space="preserve"> der Wert 1,8 zu verwenden;</t>
    </r>
    <r>
      <rPr>
        <sz val="9"/>
        <color rgb="FF00B050"/>
        <rFont val="Arial"/>
        <family val="2"/>
      </rPr>
      <t xml:space="preserve"> </t>
    </r>
    <r>
      <rPr>
        <b/>
        <sz val="9"/>
        <color theme="1"/>
        <rFont val="Arial"/>
        <family val="2"/>
      </rPr>
      <t>für den durch Anlagen mit Kraft-Wärme-Kopplung erzeugten und nach Abzug des Eigenbedarfs in das Verbundnetz eingespeisten Strom gilt unbeschadet des ersten Halbsatzes der dafür in DIN V 18599-1: 2011-12 angegebene Wert von 2,8. Wird als Wärmeerzeuger eine zum Gebäude gehörige Anlage mit Kraft-Wärme-Kopplung genutzt, so ist für deren Berechnung DIN V 18599-9: 2011-12 Abschnitt 5.1.7 Verfahren B zu verwenden.</t>
    </r>
    <r>
      <rPr>
        <sz val="9"/>
        <color theme="1"/>
        <rFont val="Arial"/>
        <family val="2"/>
      </rPr>
      <t xml:space="preserve"> Bei der Berechnung des Jahres-Primärenergiebedarfs des Referenzwohngebäudes und des Wohngebäudes sind die in Tabelle 3 genannten Randbedingungen zu verwenden. </t>
    </r>
    <r>
      <rPr>
        <b/>
        <sz val="9"/>
        <color theme="1"/>
        <rFont val="Arial"/>
        <family val="2"/>
      </rPr>
      <t xml:space="preserve">Abweichend von DIN V 18599-1: 2011-12 sind bei der Berechnung des Endenergiebedarfs diejenigen Anteile gleich „Null“ zu setzen, die durch in unmittelbarem räumlichen Zusammenhang zum Gebäude gewonnene solare Strahlungsenergie sowie Umgebungswärme und Umgebungskälte gedeckt werden. </t>
    </r>
  </si>
  <si>
    <r>
      <t xml:space="preserve">   </t>
    </r>
    <r>
      <rPr>
        <b/>
        <sz val="10"/>
        <color rgb="FF0070C0"/>
        <rFont val="Arial"/>
        <family val="2"/>
      </rPr>
      <t xml:space="preserve"> EnEV 2016 (Anlage 1, Abschnitt 2.1.1): </t>
    </r>
  </si>
  <si>
    <r>
      <t xml:space="preserve">    </t>
    </r>
    <r>
      <rPr>
        <sz val="10"/>
        <color rgb="FF0070C0"/>
        <rFont val="Arial"/>
        <family val="2"/>
      </rPr>
      <t>"Als Primärenergiefaktoren sind die Werte für den nicht erneuerbaren Anteil nach DIN V 18599-1:2011-12 zu verwenden."</t>
    </r>
  </si>
  <si>
    <r>
      <t xml:space="preserve">    </t>
    </r>
    <r>
      <rPr>
        <sz val="10"/>
        <color rgb="FF0070C0"/>
        <rFont val="Arial"/>
        <family val="2"/>
      </rPr>
      <t>Hiernach gilt für Strom-Mix f</t>
    </r>
    <r>
      <rPr>
        <vertAlign val="subscript"/>
        <sz val="10"/>
        <color rgb="FF0070C0"/>
        <rFont val="Arial"/>
        <family val="2"/>
      </rPr>
      <t>P</t>
    </r>
    <r>
      <rPr>
        <sz val="10"/>
        <color rgb="FF0070C0"/>
        <rFont val="Arial"/>
        <family val="2"/>
      </rPr>
      <t xml:space="preserve"> = 2,4</t>
    </r>
  </si>
  <si>
    <t xml:space="preserve">  "Für elektrischen Strom ist abweichend von Satz 2 als Primärenergiefaktor für den nicht erneuerbaren Anteil </t>
  </si>
  <si>
    <r>
      <t xml:space="preserve">    </t>
    </r>
    <r>
      <rPr>
        <sz val="10"/>
        <color rgb="FF0070C0"/>
        <rFont val="Arial"/>
        <family val="2"/>
      </rPr>
      <t>ab dem 1. Januar 2016 der Wert 1,8 zu verwenden;"</t>
    </r>
  </si>
  <si>
    <t>Fenster oder Abluft</t>
  </si>
  <si>
    <t>ZuAbluft WRG</t>
  </si>
  <si>
    <t>.{0,60}</t>
  </si>
  <si>
    <t>Einfamilienhaus</t>
  </si>
  <si>
    <t>neu</t>
  </si>
  <si>
    <t>Zweifamilienhaus</t>
  </si>
  <si>
    <t>Warmluftheizung</t>
  </si>
  <si>
    <t>Umstell-/Wechselbrandkessel</t>
  </si>
  <si>
    <t>Feststoffkessel</t>
  </si>
  <si>
    <t>Standard-Heizkessel als Gas-Spezial-Heizkessel</t>
  </si>
  <si>
    <t>Standard-Heizkessel als Gebläsekessel</t>
  </si>
  <si>
    <t>Standard-Heizkessel als Gebläsekessel mit Brennertausch</t>
  </si>
  <si>
    <t>Standard-Heizkessel (ab 1995)</t>
  </si>
  <si>
    <t>Niedertemperatur-Heizkessel als Gas-Spezial-Heizkessel</t>
  </si>
  <si>
    <t>Niedertemperatur-Heizkessel als Umlaufwasserheizer</t>
  </si>
  <si>
    <t>Niedertemperatur-Heizkessel als Gebläsekessel</t>
  </si>
  <si>
    <t>Niedertemperatur-Heizkessel als Gebläsekessel mit Brennertausch</t>
  </si>
  <si>
    <t>Niedertemperatur-Heizkessel (ab 1995)</t>
  </si>
  <si>
    <t>Brennwertkessel (bis 1994)</t>
  </si>
  <si>
    <t>Brennwertkessel (ab 1995)</t>
  </si>
  <si>
    <t>Brennwertkessel-verbessert</t>
  </si>
  <si>
    <t>Biomasse-Wärmeerzeuger</t>
  </si>
  <si>
    <t>Fern-/Nahwärme</t>
  </si>
  <si>
    <t>Dezentrale Kraft-Wärme-Kopplung</t>
  </si>
  <si>
    <t>Elektrisch betriebene Luft/Wasser-Heizungswärmepumpe</t>
  </si>
  <si>
    <t>Elektrisch betriebene Wasser/Wasser-Heizungswärmepumpe</t>
  </si>
  <si>
    <t>Elektrisch betriebene Sole/Wasser-Heizungswärmepumpe</t>
  </si>
  <si>
    <t>Elektrisch betriebene Abluft/Wasser-Heizungswärmepumpe</t>
  </si>
  <si>
    <t>Gasraumheizer, schornsteingebunden</t>
  </si>
  <si>
    <t>Gasraumheizer, Außenwand-Gerät</t>
  </si>
  <si>
    <t>Ölbefeuerter Einzelofen</t>
  </si>
  <si>
    <t>Kachelofen</t>
  </si>
  <si>
    <t>Kohlebefeuerter eisener Ofen</t>
  </si>
  <si>
    <t>Dezentrale Elektro-Speicherheizung</t>
  </si>
  <si>
    <t>Dezentrales elektrisches Direktheizgerät</t>
  </si>
  <si>
    <t>Zentral elektrisch beheizte Wärmeerzeuger</t>
  </si>
  <si>
    <t>Solare Heizungsunterstützung</t>
  </si>
  <si>
    <t>Abwärme aus Prozessen</t>
  </si>
  <si>
    <t>über Heizungsanlage beheizter Speicher</t>
  </si>
  <si>
    <t>Elektro-Speicher</t>
  </si>
  <si>
    <t>Direkt beheizter Trinkwarmwasserspeicher (Gas)</t>
  </si>
  <si>
    <t>Elektro-Durchlauferhitzer</t>
  </si>
  <si>
    <t>10 Trinkwarmwasseranlage</t>
  </si>
  <si>
    <t>Primaerenergiebedarf</t>
  </si>
  <si>
    <t>Primaerenergiebedarf-Hoechstwert-Bestand</t>
  </si>
  <si>
    <t>S</t>
  </si>
  <si>
    <t>O</t>
  </si>
  <si>
    <t>NO</t>
  </si>
  <si>
    <t>NW</t>
  </si>
  <si>
    <t>SO</t>
  </si>
  <si>
    <t>SW</t>
  </si>
  <si>
    <t>HOR</t>
  </si>
  <si>
    <t>N</t>
  </si>
  <si>
    <t>Aussenluft</t>
  </si>
  <si>
    <t>Raumluft</t>
  </si>
  <si>
    <t>Erdreich</t>
  </si>
  <si>
    <t>Ausrichtung</t>
  </si>
  <si>
    <t>Opak</t>
  </si>
  <si>
    <t>Transparent</t>
  </si>
  <si>
    <t>gilt für</t>
  </si>
  <si>
    <t>grenztAn</t>
  </si>
  <si>
    <t>Transprent</t>
  </si>
  <si>
    <t xml:space="preserve">W </t>
  </si>
  <si>
    <t xml:space="preserve">T </t>
  </si>
  <si>
    <t xml:space="preserve">D </t>
  </si>
  <si>
    <t>links2</t>
  </si>
  <si>
    <t>Ab</t>
  </si>
  <si>
    <t xml:space="preserve">G </t>
  </si>
  <si>
    <t>AG</t>
  </si>
  <si>
    <t>OG</t>
  </si>
  <si>
    <t>Dach ohne Orientierung?, wohin OG usw.?</t>
  </si>
  <si>
    <t>Fehler bei G: grenztAn nicht differenziert</t>
  </si>
  <si>
    <t>Bodenplatte bei Opak mit Ausrichtung N</t>
  </si>
  <si>
    <t>Rechtsstand</t>
  </si>
  <si>
    <t>default "N"</t>
  </si>
  <si>
    <t>Baujahr Gebäude</t>
  </si>
  <si>
    <t>#date#x#x#2000-01-01#2100-01-01</t>
  </si>
  <si>
    <t>#decimal#2#4#0#100</t>
  </si>
  <si>
    <t>#decimal#3#4#-0,999#+0,999</t>
  </si>
  <si>
    <t>#int#x#x#0#+10000000</t>
  </si>
  <si>
    <t>#date#x#x#x#x</t>
  </si>
  <si>
    <t>#decimal#1#6#0#100000</t>
  </si>
  <si>
    <t>#int#x#x#0#100</t>
  </si>
  <si>
    <t>#int#x#x#0#10000000</t>
  </si>
  <si>
    <t>#int#x#x#1800#2100</t>
  </si>
  <si>
    <t>#int#x#x#0#1000000</t>
  </si>
  <si>
    <t>#int#x#x#0#10000</t>
  </si>
  <si>
    <t>#decimal#2#3#0#10</t>
  </si>
  <si>
    <t>#decimal#3#4#0#10</t>
  </si>
  <si>
    <t>#decimal#2#3#0#0,99</t>
  </si>
  <si>
    <t>0,0</t>
  </si>
  <si>
    <t>12345</t>
  </si>
  <si>
    <t>Einschränkung AN, neu 2018</t>
  </si>
  <si>
    <t>Technische Mindestanforderungen</t>
  </si>
  <si>
    <t>https://www.kfw.de/PDF/Download-Center/F%C3%B6rderprogramme-%28Inlandsf%C3%B6rderung%29/PDF-Dokumente/6000003465_M_153_EEB_TMA_2018_04.pdf</t>
  </si>
  <si>
    <t>KfW Energieeffizient Bauen</t>
  </si>
  <si>
    <t>Link:</t>
  </si>
  <si>
    <r>
      <rPr>
        <b/>
        <sz val="9"/>
        <color theme="1"/>
        <rFont val="Arial"/>
        <family val="2"/>
      </rPr>
      <t>KfW</t>
    </r>
    <r>
      <rPr>
        <sz val="9"/>
        <color theme="1"/>
        <rFont val="Arial"/>
        <family val="2"/>
      </rPr>
      <t xml:space="preserve"> Energieeffizient Bauen</t>
    </r>
  </si>
  <si>
    <r>
      <t>Kredit 153</t>
    </r>
    <r>
      <rPr>
        <sz val="9"/>
        <color theme="1"/>
        <rFont val="Arial"/>
        <family val="2"/>
      </rPr>
      <t>, Technische Mindestanforderungen</t>
    </r>
  </si>
  <si>
    <t>Jahres-Primärenergiebedarf bezogen auf den Wert des Referenzgebäudes</t>
  </si>
  <si>
    <t>spez. flächenbezogener Transmissionswärmeverlust bezogen auf den Wert Referenzgebäude</t>
  </si>
  <si>
    <t>Daten für Energieausweis inkl. Prüfung Format</t>
  </si>
  <si>
    <r>
      <rPr>
        <b/>
        <sz val="9"/>
        <color theme="1"/>
        <rFont val="Arial"/>
        <family val="2"/>
      </rPr>
      <t>GEG</t>
    </r>
    <r>
      <rPr>
        <sz val="9"/>
        <color theme="1"/>
        <rFont val="Arial"/>
        <family val="2"/>
      </rPr>
      <t xml:space="preserve"> Gebäudeenergiegesetz</t>
    </r>
  </si>
  <si>
    <r>
      <t>Anlage 4</t>
    </r>
    <r>
      <rPr>
        <sz val="9"/>
        <color theme="1"/>
        <rFont val="Arial"/>
        <family val="2"/>
      </rPr>
      <t xml:space="preserve"> - Primärenergiefaktoren</t>
    </r>
  </si>
  <si>
    <t>GEG 2020 - Anlage 4 - Primärenergiefaktoren</t>
  </si>
  <si>
    <t>Kategorie</t>
  </si>
  <si>
    <t>Nummer</t>
  </si>
  <si>
    <t>netzbezogen</t>
  </si>
  <si>
    <t>gebäudenah erzeugt (aus Photovoltaik oder Windkraft)</t>
  </si>
  <si>
    <t>Verdrängungsstrommix für KWK</t>
  </si>
  <si>
    <t>Wärme, Kälte</t>
  </si>
  <si>
    <t>Erdwärme, Geothermie, Solar-
thermie, Umgebungswärme</t>
  </si>
  <si>
    <t>Erdkälte, Umgebungskälte</t>
  </si>
  <si>
    <t>Wärme aus KWK, gebäudeintegriert
oder gebäudenah</t>
  </si>
  <si>
    <t>nach Verfahren B gemäß
DIN V 18599-9: 2018-09
Abschnitt 5.2.5 oder
DIN V 18599-9: 2018-09
Abschnitt 5.3.5.1</t>
  </si>
  <si>
    <t>Siedlungsabfälle</t>
  </si>
  <si>
    <t>Emissionsfaktor</t>
  </si>
  <si>
    <r>
      <t>[g CO</t>
    </r>
    <r>
      <rPr>
        <vertAlign val="subscript"/>
        <sz val="9"/>
        <color theme="1"/>
        <rFont val="Arial"/>
        <family val="2"/>
      </rPr>
      <t>2</t>
    </r>
    <r>
      <rPr>
        <sz val="9"/>
        <color theme="1"/>
        <rFont val="Arial"/>
        <family val="2"/>
      </rPr>
      <t xml:space="preserve"> -Äquivalent pro kWh]</t>
    </r>
  </si>
  <si>
    <t>Biogenes Flüssiggas</t>
  </si>
  <si>
    <t>Bioöl, gebäudenah erzeugt</t>
  </si>
  <si>
    <t>Biogas, gebäudenah erzeugt</t>
  </si>
  <si>
    <t>nach DIN V 18599-9:
2018-09</t>
  </si>
  <si>
    <t>Wärme aus Verbrennung von Siedlungsabfällen (unter pauschaler Berücksichtigung von Hilfsenergie und Stützfeuerung)</t>
  </si>
  <si>
    <t>Nah-/Fernwärme aus KWK mit Deckungsanteil der KWK an der Wärmeerzeugung von mindestens 70 Prozent</t>
  </si>
  <si>
    <t>Brennstoff: Stein-/Braunkohle</t>
  </si>
  <si>
    <t>Gasförmige und flüssige Brennstoffe</t>
  </si>
  <si>
    <t>Erneuerbarer Brennstoff</t>
  </si>
  <si>
    <t>GEG 2020 - Anlage 10 - Energieeffizienzklassen von Wohngebäuden</t>
  </si>
  <si>
    <t>Energieeffizienzklassen von Wohngebäuden</t>
  </si>
  <si>
    <t>Emissionsfaktoren</t>
  </si>
  <si>
    <t>GEG 2020 - Anlage 9 - Umrechnung in Treibhausgasemissionen</t>
  </si>
  <si>
    <t>Endenergie</t>
  </si>
  <si>
    <t>[Kilowattstunden pro Quadratmeter Gebäudenutzfläche und Jahr]</t>
  </si>
  <si>
    <t>&lt;=</t>
  </si>
  <si>
    <t>&gt;</t>
  </si>
  <si>
    <r>
      <t>Anlage 9</t>
    </r>
    <r>
      <rPr>
        <sz val="9"/>
        <color theme="1"/>
        <rFont val="Arial"/>
        <family val="2"/>
      </rPr>
      <t xml:space="preserve"> - Umrechnung in Treibhausgasemissionen</t>
    </r>
  </si>
  <si>
    <r>
      <t>Anlage 10</t>
    </r>
    <r>
      <rPr>
        <sz val="9"/>
        <color theme="1"/>
        <rFont val="Arial"/>
        <family val="2"/>
      </rPr>
      <t xml:space="preserve"> - Energieeffizienzklassen von Wohngebäuden</t>
    </r>
  </si>
  <si>
    <t>vom 8.8.2020</t>
  </si>
  <si>
    <t>Inkrafttreten 1.11.2020</t>
  </si>
  <si>
    <t>bisher (DIN V 18599-1, EnEV2016)</t>
  </si>
  <si>
    <t>aus KWK: fossil 0,7, erneuerbar 0
aus Heizwerken: fossil 1,3, erneuerbar 0,1</t>
  </si>
  <si>
    <t>bisher (EnEV2016)</t>
  </si>
  <si>
    <t>Hinweis: Auswahl Anlage Nr. erfolgt auf Blatt Gebaeude Bereich "7 Primärenergieaufwandszahl gemäß DIN V 4701-10 eP [-]" für Verfahren "Musteranlage"</t>
  </si>
  <si>
    <t>[kg/(m²a)]</t>
  </si>
  <si>
    <t>[kg/kWh]</t>
  </si>
  <si>
    <r>
      <t>f</t>
    </r>
    <r>
      <rPr>
        <vertAlign val="subscript"/>
        <sz val="10"/>
        <color theme="6" tint="-0.249977111117893"/>
        <rFont val="Arial"/>
        <family val="2"/>
      </rPr>
      <t>CO2</t>
    </r>
  </si>
  <si>
    <r>
      <t>Faktor CO</t>
    </r>
    <r>
      <rPr>
        <vertAlign val="subscript"/>
        <sz val="10"/>
        <color theme="6" tint="-0.249977111117893"/>
        <rFont val="Arial"/>
        <family val="2"/>
      </rPr>
      <t>2</t>
    </r>
    <r>
      <rPr>
        <sz val="10"/>
        <color theme="6" tint="-0.249977111117893"/>
        <rFont val="Arial"/>
        <family val="2"/>
      </rPr>
      <t xml:space="preserve"> (Quelle GEG 2020)</t>
    </r>
  </si>
  <si>
    <r>
      <t>Σ CO</t>
    </r>
    <r>
      <rPr>
        <vertAlign val="subscript"/>
        <sz val="10"/>
        <color theme="6" tint="-0.249977111117893"/>
        <rFont val="Arial"/>
        <family val="2"/>
      </rPr>
      <t>2</t>
    </r>
    <r>
      <rPr>
        <sz val="10"/>
        <color theme="6" tint="-0.249977111117893"/>
        <rFont val="Arial"/>
        <family val="2"/>
      </rPr>
      <t>-Äquivalent</t>
    </r>
  </si>
  <si>
    <t>fCo2</t>
  </si>
  <si>
    <r>
      <t>f</t>
    </r>
    <r>
      <rPr>
        <vertAlign val="subscript"/>
        <sz val="10"/>
        <color theme="6" tint="-0.249977111117893"/>
        <rFont val="Arial"/>
        <family val="2"/>
      </rPr>
      <t>CO2,i</t>
    </r>
  </si>
  <si>
    <t>Nachweis der Anforderungen nach Gebäudeenergiegesetz gem. DIN V 4108-6/DIN V 4701-10</t>
  </si>
  <si>
    <t>Energieeffizienzklasse gem. Anlage 10 des GEG</t>
  </si>
  <si>
    <t>optimiert - mit Berücksichtigung DIN 4108 Bbl. 2 Kategorie A</t>
  </si>
  <si>
    <t>optimiert - mit Berücksichtigung DIN 4108 Bbl. 2 Kategorie B</t>
  </si>
  <si>
    <r>
      <rPr>
        <sz val="10"/>
        <rFont val="Calibri"/>
        <family val="2"/>
      </rPr>
      <t>Δ</t>
    </r>
    <r>
      <rPr>
        <sz val="10"/>
        <rFont val="Arial"/>
        <family val="2"/>
      </rPr>
      <t>U</t>
    </r>
    <r>
      <rPr>
        <vertAlign val="subscript"/>
        <sz val="10"/>
        <rFont val="Arial"/>
        <family val="2"/>
      </rPr>
      <t>WB</t>
    </r>
    <r>
      <rPr>
        <sz val="10"/>
        <rFont val="Arial"/>
        <family val="2"/>
      </rPr>
      <t xml:space="preserve"> = 0,03 [W/(m²K)]</t>
    </r>
  </si>
  <si>
    <r>
      <t>6 Spezifischer flächenbezogener Transmissionswärmeverlust H</t>
    </r>
    <r>
      <rPr>
        <b/>
        <vertAlign val="subscript"/>
        <sz val="11"/>
        <rFont val="Arial"/>
        <family val="2"/>
      </rPr>
      <t>T</t>
    </r>
    <r>
      <rPr>
        <b/>
        <sz val="11"/>
        <rFont val="Arial"/>
        <family val="2"/>
      </rPr>
      <t>' [W/(m²K)]</t>
    </r>
  </si>
  <si>
    <t>Anforderung an den baulichen Wärmeschutz</t>
  </si>
  <si>
    <r>
      <t>H</t>
    </r>
    <r>
      <rPr>
        <vertAlign val="subscript"/>
        <sz val="10"/>
        <rFont val="Arial"/>
        <family val="2"/>
      </rPr>
      <t>T</t>
    </r>
    <r>
      <rPr>
        <sz val="10"/>
        <rFont val="Arial"/>
        <family val="2"/>
      </rPr>
      <t>'</t>
    </r>
    <r>
      <rPr>
        <vertAlign val="subscript"/>
        <sz val="10"/>
        <rFont val="Arial"/>
        <family val="2"/>
      </rPr>
      <t>Ref</t>
    </r>
    <r>
      <rPr>
        <sz val="10"/>
        <rFont val="Arial"/>
        <family val="2"/>
      </rPr>
      <t xml:space="preserve"> = H</t>
    </r>
    <r>
      <rPr>
        <vertAlign val="subscript"/>
        <sz val="10"/>
        <rFont val="Arial"/>
        <family val="2"/>
      </rPr>
      <t>T</t>
    </r>
    <r>
      <rPr>
        <sz val="10"/>
        <rFont val="Arial"/>
        <family val="2"/>
      </rPr>
      <t>'</t>
    </r>
    <r>
      <rPr>
        <vertAlign val="subscript"/>
        <sz val="10"/>
        <rFont val="Arial"/>
        <family val="2"/>
      </rPr>
      <t>max</t>
    </r>
    <r>
      <rPr>
        <sz val="10"/>
        <rFont val="Arial"/>
        <family val="2"/>
      </rPr>
      <t xml:space="preserve"> [W/(m²K)] =</t>
    </r>
  </si>
  <si>
    <t xml:space="preserve">Die Pflicht der Nutzung erneuerbarer Energien wird erfüllt durch </t>
  </si>
  <si>
    <t>Maßnahmen bezogen auf Deckung Wärme- und Kälteenergiebedarf</t>
  </si>
  <si>
    <t>weitere Maßnahmen</t>
  </si>
  <si>
    <t>Kurzbezeichnung</t>
  </si>
  <si>
    <t>Langform</t>
  </si>
  <si>
    <t>Solarthermie</t>
  </si>
  <si>
    <t>Strom EE</t>
  </si>
  <si>
    <t>feste Biomasse</t>
  </si>
  <si>
    <t>flüssige Biomasse</t>
  </si>
  <si>
    <t>gasförmige Biomasse</t>
  </si>
  <si>
    <t>KWK-Anlage</t>
  </si>
  <si>
    <t>Brennstoffzelle</t>
  </si>
  <si>
    <t>Liste der möglichen Maßnahmen (Auswahl über Kurzbezeichnung)</t>
  </si>
  <si>
    <t>Fernwärme wesentlich</t>
  </si>
  <si>
    <t>Fernwärme Abwärme</t>
  </si>
  <si>
    <t>Fernwärme KWK</t>
  </si>
  <si>
    <t>Kälte EE</t>
  </si>
  <si>
    <t>BW_sol</t>
  </si>
  <si>
    <t>Nieder</t>
  </si>
  <si>
    <t>Nieder-Lüftung</t>
  </si>
  <si>
    <t>Konst</t>
  </si>
  <si>
    <t>Konst-Solar</t>
  </si>
  <si>
    <t>Pellet</t>
  </si>
  <si>
    <t>Pellet-Lüftung</t>
  </si>
  <si>
    <t>WP-Luft</t>
  </si>
  <si>
    <t>WP-Luft-Lüftung</t>
  </si>
  <si>
    <t>WP-Sole</t>
  </si>
  <si>
    <t>WP-Sole-Lüftung</t>
  </si>
  <si>
    <t>FW</t>
  </si>
  <si>
    <t>Fußbodenheizung, Einzelraumregelung 2 K</t>
  </si>
  <si>
    <t>Fußbodenheizung, Einzelraumregelung 0,5 K</t>
  </si>
  <si>
    <t>neu für Doku, gleiche Werte wie Radiatoren</t>
  </si>
  <si>
    <r>
      <t xml:space="preserve">horizontale Verteilung </t>
    </r>
    <r>
      <rPr>
        <b/>
        <sz val="9"/>
        <color theme="1"/>
        <rFont val="Arial"/>
        <family val="2"/>
      </rPr>
      <t>außerhalb</t>
    </r>
    <r>
      <rPr>
        <sz val="9"/>
        <color theme="1"/>
        <rFont val="Arial"/>
        <family val="2"/>
      </rPr>
      <t xml:space="preserve"> thermischer Hülle, Verteilungsstränge </t>
    </r>
    <r>
      <rPr>
        <b/>
        <sz val="9"/>
        <color theme="1"/>
        <rFont val="Arial"/>
        <family val="2"/>
      </rPr>
      <t>außenliegend</t>
    </r>
    <r>
      <rPr>
        <sz val="9"/>
        <color theme="1"/>
        <rFont val="Arial"/>
        <family val="2"/>
      </rPr>
      <t xml:space="preserve">, </t>
    </r>
    <r>
      <rPr>
        <b/>
        <sz val="9"/>
        <color theme="1"/>
        <rFont val="Arial"/>
        <family val="2"/>
      </rPr>
      <t>geregelte</t>
    </r>
    <r>
      <rPr>
        <sz val="9"/>
        <color theme="1"/>
        <rFont val="Arial"/>
        <family val="2"/>
      </rPr>
      <t xml:space="preserve"> Pumpen</t>
    </r>
  </si>
  <si>
    <r>
      <t xml:space="preserve">horizontale Verteilung außerhalb thermischer Hülle, Verteilungsstränge </t>
    </r>
    <r>
      <rPr>
        <b/>
        <sz val="9"/>
        <color theme="1"/>
        <rFont val="Arial"/>
        <family val="2"/>
      </rPr>
      <t>innenliegend</t>
    </r>
    <r>
      <rPr>
        <sz val="9"/>
        <color theme="1"/>
        <rFont val="Arial"/>
        <family val="2"/>
      </rPr>
      <t>, geregelte Pumpen</t>
    </r>
  </si>
  <si>
    <r>
      <t xml:space="preserve">horizontale Verteilung </t>
    </r>
    <r>
      <rPr>
        <b/>
        <sz val="9"/>
        <color theme="1"/>
        <rFont val="Arial"/>
        <family val="2"/>
      </rPr>
      <t>innerhalb</t>
    </r>
    <r>
      <rPr>
        <sz val="9"/>
        <color theme="1"/>
        <rFont val="Arial"/>
        <family val="2"/>
      </rPr>
      <t xml:space="preserve"> thermischer Hülle, Verteilungsstränge </t>
    </r>
    <r>
      <rPr>
        <b/>
        <sz val="9"/>
        <color theme="1"/>
        <rFont val="Arial"/>
        <family val="2"/>
      </rPr>
      <t>außenliegend</t>
    </r>
    <r>
      <rPr>
        <sz val="9"/>
        <color theme="1"/>
        <rFont val="Arial"/>
        <family val="2"/>
      </rPr>
      <t>, geregelte Pumpen</t>
    </r>
  </si>
  <si>
    <r>
      <t xml:space="preserve">horizontale Verteilung innerhalb thermischer Hülle, Verteilungsstränge </t>
    </r>
    <r>
      <rPr>
        <b/>
        <sz val="9"/>
        <color theme="1"/>
        <rFont val="Arial"/>
        <family val="2"/>
      </rPr>
      <t>innenliegend</t>
    </r>
    <r>
      <rPr>
        <sz val="9"/>
        <color theme="1"/>
        <rFont val="Arial"/>
        <family val="2"/>
      </rPr>
      <t>, geregelte Pumpen</t>
    </r>
  </si>
  <si>
    <r>
      <t xml:space="preserve">horizontale Verteilung außerhalb thermischer Hülle, Verteilungsstränge </t>
    </r>
    <r>
      <rPr>
        <b/>
        <sz val="9"/>
        <color theme="1"/>
        <rFont val="Arial"/>
        <family val="2"/>
      </rPr>
      <t>innenliegend</t>
    </r>
    <r>
      <rPr>
        <sz val="9"/>
        <color theme="1"/>
        <rFont val="Arial"/>
        <family val="2"/>
      </rPr>
      <t>, ungeregelte Pumpen</t>
    </r>
  </si>
  <si>
    <r>
      <t xml:space="preserve">horizontale Verteilung </t>
    </r>
    <r>
      <rPr>
        <b/>
        <sz val="9"/>
        <color theme="1"/>
        <rFont val="Arial"/>
        <family val="2"/>
      </rPr>
      <t>innerhalb</t>
    </r>
    <r>
      <rPr>
        <sz val="9"/>
        <color theme="1"/>
        <rFont val="Arial"/>
        <family val="2"/>
      </rPr>
      <t xml:space="preserve"> thermischer Hülle, Verteilungsstränge </t>
    </r>
    <r>
      <rPr>
        <b/>
        <sz val="9"/>
        <color theme="1"/>
        <rFont val="Arial"/>
        <family val="2"/>
      </rPr>
      <t>außenliegend</t>
    </r>
    <r>
      <rPr>
        <sz val="9"/>
        <color theme="1"/>
        <rFont val="Arial"/>
        <family val="2"/>
      </rPr>
      <t>, ungeregelte Pumpen</t>
    </r>
  </si>
  <si>
    <r>
      <t xml:space="preserve">horizontale Verteilung innerhalb thermischer Hülle, Verteilungsstränge </t>
    </r>
    <r>
      <rPr>
        <b/>
        <sz val="9"/>
        <color theme="1"/>
        <rFont val="Arial"/>
        <family val="2"/>
      </rPr>
      <t>innenliegend</t>
    </r>
    <r>
      <rPr>
        <sz val="9"/>
        <color theme="1"/>
        <rFont val="Arial"/>
        <family val="2"/>
      </rPr>
      <t>, ungeregelte Pumpen</t>
    </r>
  </si>
  <si>
    <r>
      <t xml:space="preserve">horizontale Verteilung </t>
    </r>
    <r>
      <rPr>
        <b/>
        <sz val="9"/>
        <color theme="1"/>
        <rFont val="Arial"/>
        <family val="2"/>
      </rPr>
      <t>außerhalb</t>
    </r>
    <r>
      <rPr>
        <sz val="9"/>
        <color theme="1"/>
        <rFont val="Arial"/>
        <family val="2"/>
      </rPr>
      <t xml:space="preserve"> thermischer Hülle, Verteilungsstränge </t>
    </r>
    <r>
      <rPr>
        <b/>
        <sz val="9"/>
        <color theme="1"/>
        <rFont val="Arial"/>
        <family val="2"/>
      </rPr>
      <t>außenliegend</t>
    </r>
    <r>
      <rPr>
        <sz val="9"/>
        <color theme="1"/>
        <rFont val="Arial"/>
        <family val="2"/>
      </rPr>
      <t xml:space="preserve">, </t>
    </r>
    <r>
      <rPr>
        <b/>
        <sz val="9"/>
        <color theme="1"/>
        <rFont val="Arial"/>
        <family val="2"/>
      </rPr>
      <t>ungeregelte</t>
    </r>
    <r>
      <rPr>
        <sz val="9"/>
        <color theme="1"/>
        <rFont val="Arial"/>
        <family val="2"/>
      </rPr>
      <t xml:space="preserve"> Pumpen</t>
    </r>
  </si>
  <si>
    <t>Biomasse (Pellet)</t>
  </si>
  <si>
    <t>Hinweis: neu seit GEG, Verwendung für Anrechnung PV-Strom</t>
  </si>
  <si>
    <r>
      <t>X</t>
    </r>
    <r>
      <rPr>
        <b/>
        <vertAlign val="subscript"/>
        <sz val="10"/>
        <color theme="6" tint="-0.249977111117893"/>
        <rFont val="Arial"/>
        <family val="2"/>
      </rPr>
      <t>CO2</t>
    </r>
    <r>
      <rPr>
        <b/>
        <sz val="10"/>
        <color theme="6" tint="-0.249977111117893"/>
        <rFont val="Arial"/>
        <family val="2"/>
      </rPr>
      <t xml:space="preserve"> =</t>
    </r>
  </si>
  <si>
    <r>
      <t>CO</t>
    </r>
    <r>
      <rPr>
        <b/>
        <vertAlign val="subscript"/>
        <sz val="10"/>
        <color theme="6" tint="-0.249977111117893"/>
        <rFont val="Arial"/>
        <family val="2"/>
      </rPr>
      <t>2</t>
    </r>
    <r>
      <rPr>
        <b/>
        <sz val="10"/>
        <color theme="6" tint="-0.249977111117893"/>
        <rFont val="Arial"/>
        <family val="2"/>
      </rPr>
      <t>-Äquivalent</t>
    </r>
  </si>
  <si>
    <t>[kg/a]</t>
  </si>
  <si>
    <r>
      <t>x</t>
    </r>
    <r>
      <rPr>
        <vertAlign val="subscript"/>
        <sz val="10"/>
        <color theme="6" tint="-0.249977111117893"/>
        <rFont val="Arial"/>
        <family val="2"/>
      </rPr>
      <t>CO2</t>
    </r>
    <r>
      <rPr>
        <sz val="10"/>
        <color theme="6" tint="-0.249977111117893"/>
        <rFont val="Arial"/>
        <family val="2"/>
      </rPr>
      <t>,i</t>
    </r>
  </si>
  <si>
    <r>
      <t>x</t>
    </r>
    <r>
      <rPr>
        <vertAlign val="subscript"/>
        <sz val="10"/>
        <color theme="6" tint="-0.249977111117893"/>
        <rFont val="Arial"/>
        <family val="2"/>
      </rPr>
      <t>CO2</t>
    </r>
  </si>
  <si>
    <r>
      <t>x</t>
    </r>
    <r>
      <rPr>
        <vertAlign val="subscript"/>
        <sz val="10"/>
        <color theme="6" tint="-0.249977111117893"/>
        <rFont val="Arial"/>
        <family val="2"/>
      </rPr>
      <t>CO2,i</t>
    </r>
  </si>
  <si>
    <t>CO2-Äquivalent xCO2 [kg/(m²a)]</t>
  </si>
  <si>
    <t>xCO2</t>
  </si>
  <si>
    <r>
      <t>V</t>
    </r>
    <r>
      <rPr>
        <vertAlign val="subscript"/>
        <sz val="10"/>
        <rFont val="Arial"/>
        <family val="2"/>
      </rPr>
      <t>e</t>
    </r>
    <r>
      <rPr>
        <sz val="10"/>
        <rFont val="Arial"/>
        <family val="2"/>
      </rPr>
      <t xml:space="preserve"> [m³] =</t>
    </r>
  </si>
  <si>
    <t>Volumen (Außenmaß)</t>
  </si>
  <si>
    <t>Geschosshöhe</t>
  </si>
  <si>
    <r>
      <t>h</t>
    </r>
    <r>
      <rPr>
        <vertAlign val="subscript"/>
        <sz val="10"/>
        <rFont val="Arial"/>
        <family val="2"/>
      </rPr>
      <t>G</t>
    </r>
    <r>
      <rPr>
        <sz val="10"/>
        <rFont val="Arial"/>
        <family val="2"/>
      </rPr>
      <t xml:space="preserve"> [m] =</t>
    </r>
  </si>
  <si>
    <r>
      <t>A</t>
    </r>
    <r>
      <rPr>
        <vertAlign val="subscript"/>
        <sz val="10"/>
        <rFont val="Arial"/>
        <family val="2"/>
      </rPr>
      <t>N</t>
    </r>
    <r>
      <rPr>
        <sz val="10"/>
        <rFont val="Arial"/>
        <family val="2"/>
      </rPr>
      <t xml:space="preserve"> = f</t>
    </r>
    <r>
      <rPr>
        <vertAlign val="subscript"/>
        <sz val="10"/>
        <rFont val="Arial"/>
        <family val="2"/>
      </rPr>
      <t>G</t>
    </r>
    <r>
      <rPr>
        <sz val="10"/>
        <rFont val="Arial"/>
        <family val="2"/>
      </rPr>
      <t xml:space="preserve"> * V</t>
    </r>
    <r>
      <rPr>
        <vertAlign val="subscript"/>
        <sz val="10"/>
        <rFont val="Arial"/>
        <family val="2"/>
      </rPr>
      <t>e</t>
    </r>
    <r>
      <rPr>
        <sz val="10"/>
        <rFont val="Arial"/>
        <family val="2"/>
      </rPr>
      <t xml:space="preserve"> [m²] =</t>
    </r>
  </si>
  <si>
    <r>
      <t>n</t>
    </r>
    <r>
      <rPr>
        <vertAlign val="subscript"/>
        <sz val="10"/>
        <rFont val="Arial"/>
        <family val="2"/>
      </rPr>
      <t>WE</t>
    </r>
    <r>
      <rPr>
        <sz val="10"/>
        <rFont val="Arial"/>
        <family val="2"/>
      </rPr>
      <t xml:space="preserve"> [-] =</t>
    </r>
  </si>
  <si>
    <r>
      <t>n</t>
    </r>
    <r>
      <rPr>
        <vertAlign val="subscript"/>
        <sz val="10"/>
        <rFont val="Arial"/>
        <family val="2"/>
      </rPr>
      <t>G</t>
    </r>
    <r>
      <rPr>
        <sz val="10"/>
        <rFont val="Arial"/>
        <family val="2"/>
      </rPr>
      <t xml:space="preserve"> [-] =</t>
    </r>
  </si>
  <si>
    <r>
      <t xml:space="preserve">spez. flächenbez. Transmissionswärmeverlust des </t>
    </r>
    <r>
      <rPr>
        <b/>
        <sz val="10"/>
        <rFont val="Arial"/>
        <family val="2"/>
      </rPr>
      <t>Referenzgebäudes</t>
    </r>
    <r>
      <rPr>
        <sz val="10"/>
        <rFont val="Arial"/>
        <family val="2"/>
      </rPr>
      <t xml:space="preserve"> und </t>
    </r>
    <r>
      <rPr>
        <b/>
        <sz val="10"/>
        <rFont val="Arial"/>
        <family val="2"/>
      </rPr>
      <t>Nebenanforderung</t>
    </r>
    <r>
      <rPr>
        <sz val="10"/>
        <rFont val="Arial"/>
        <family val="2"/>
      </rPr>
      <t xml:space="preserve"> H</t>
    </r>
    <r>
      <rPr>
        <vertAlign val="subscript"/>
        <sz val="10"/>
        <rFont val="Arial"/>
        <family val="2"/>
      </rPr>
      <t>T</t>
    </r>
    <r>
      <rPr>
        <sz val="10"/>
        <rFont val="Arial"/>
        <family val="2"/>
      </rPr>
      <t>'</t>
    </r>
    <r>
      <rPr>
        <vertAlign val="subscript"/>
        <sz val="10"/>
        <rFont val="Arial"/>
        <family val="2"/>
      </rPr>
      <t>,max</t>
    </r>
    <r>
      <rPr>
        <sz val="10"/>
        <rFont val="Arial"/>
        <family val="2"/>
      </rPr>
      <t xml:space="preserve"> </t>
    </r>
  </si>
  <si>
    <r>
      <t>q</t>
    </r>
    <r>
      <rPr>
        <vertAlign val="subscript"/>
        <sz val="10"/>
        <rFont val="Arial"/>
        <family val="2"/>
      </rPr>
      <t>WE,E</t>
    </r>
    <r>
      <rPr>
        <sz val="10"/>
        <rFont val="Arial"/>
        <family val="2"/>
      </rPr>
      <t xml:space="preserve"> = Q</t>
    </r>
    <r>
      <rPr>
        <vertAlign val="subscript"/>
        <sz val="10"/>
        <rFont val="Arial"/>
        <family val="2"/>
      </rPr>
      <t>WE,E</t>
    </r>
    <r>
      <rPr>
        <sz val="10"/>
        <rFont val="Arial"/>
        <family val="2"/>
      </rPr>
      <t>'' [kWh/(m²a)]</t>
    </r>
  </si>
  <si>
    <r>
      <t>q</t>
    </r>
    <r>
      <rPr>
        <vertAlign val="subscript"/>
        <sz val="10"/>
        <rFont val="Arial"/>
        <family val="2"/>
      </rPr>
      <t>HE,E</t>
    </r>
    <r>
      <rPr>
        <sz val="10"/>
        <rFont val="Arial"/>
        <family val="2"/>
      </rPr>
      <t xml:space="preserve"> = Q</t>
    </r>
    <r>
      <rPr>
        <vertAlign val="subscript"/>
        <sz val="10"/>
        <rFont val="Arial"/>
        <family val="2"/>
      </rPr>
      <t>HE,E</t>
    </r>
    <r>
      <rPr>
        <sz val="10"/>
        <rFont val="Arial"/>
        <family val="2"/>
      </rPr>
      <t>'' [kWh/(m²a)]</t>
    </r>
  </si>
  <si>
    <t>für Referenzgebäude nicht relevant</t>
  </si>
  <si>
    <r>
      <t>q</t>
    </r>
    <r>
      <rPr>
        <vertAlign val="subscript"/>
        <sz val="10"/>
        <rFont val="Arial"/>
        <family val="2"/>
      </rPr>
      <t>P,vorh</t>
    </r>
    <r>
      <rPr>
        <sz val="10"/>
        <rFont val="Arial"/>
        <family val="2"/>
      </rPr>
      <t xml:space="preserve"> &lt;= q</t>
    </r>
    <r>
      <rPr>
        <vertAlign val="subscript"/>
        <sz val="10"/>
        <rFont val="Arial"/>
        <family val="2"/>
      </rPr>
      <t>P,max</t>
    </r>
  </si>
  <si>
    <r>
      <t xml:space="preserve">mindestens 15 % durch Nutzung von solarer Strahlungsenergie mittels </t>
    </r>
    <r>
      <rPr>
        <b/>
        <sz val="9"/>
        <color theme="0" tint="-0.499984740745262"/>
        <rFont val="Arial"/>
        <family val="2"/>
      </rPr>
      <t>solarthermischer</t>
    </r>
    <r>
      <rPr>
        <sz val="9"/>
        <color theme="0" tint="-0.499984740745262"/>
        <rFont val="Arial"/>
        <family val="2"/>
      </rPr>
      <t xml:space="preserve"> Anlagen </t>
    </r>
  </si>
  <si>
    <r>
      <t xml:space="preserve">mindestens 15 % durch Nutzung von </t>
    </r>
    <r>
      <rPr>
        <b/>
        <sz val="9"/>
        <color theme="0" tint="-0.499984740745262"/>
        <rFont val="Arial"/>
        <family val="2"/>
      </rPr>
      <t>Strom</t>
    </r>
    <r>
      <rPr>
        <sz val="9"/>
        <color theme="0" tint="-0.499984740745262"/>
        <rFont val="Arial"/>
        <family val="2"/>
      </rPr>
      <t xml:space="preserve"> aus </t>
    </r>
    <r>
      <rPr>
        <b/>
        <sz val="9"/>
        <color theme="0" tint="-0.499984740745262"/>
        <rFont val="Arial"/>
        <family val="2"/>
      </rPr>
      <t>erneuerbaren</t>
    </r>
    <r>
      <rPr>
        <sz val="9"/>
        <color theme="0" tint="-0.499984740745262"/>
        <rFont val="Arial"/>
        <family val="2"/>
      </rPr>
      <t xml:space="preserve"> Energien</t>
    </r>
  </si>
  <si>
    <r>
      <t xml:space="preserve">mindestens 50 % durch Nutzung von Geothermie, Umweltwärme oder Abwärme aus Abwasser mittels </t>
    </r>
    <r>
      <rPr>
        <b/>
        <sz val="9"/>
        <color theme="0" tint="-0.499984740745262"/>
        <rFont val="Arial"/>
        <family val="2"/>
      </rPr>
      <t>Wärmepumpen</t>
    </r>
  </si>
  <si>
    <r>
      <t xml:space="preserve">mindestens 50 % durch Nutzung von </t>
    </r>
    <r>
      <rPr>
        <b/>
        <sz val="9"/>
        <color theme="0" tint="-0.499984740745262"/>
        <rFont val="Arial"/>
        <family val="2"/>
      </rPr>
      <t xml:space="preserve">fester Biomasse </t>
    </r>
  </si>
  <si>
    <r>
      <t xml:space="preserve">mindestens 50 % durch Nutzung von </t>
    </r>
    <r>
      <rPr>
        <b/>
        <sz val="9"/>
        <color theme="0" tint="-0.499984740745262"/>
        <rFont val="Arial"/>
        <family val="2"/>
      </rPr>
      <t>flüssiger Biomasse</t>
    </r>
  </si>
  <si>
    <r>
      <t xml:space="preserve">mindestens 50 % durch Nutzung von </t>
    </r>
    <r>
      <rPr>
        <b/>
        <sz val="9"/>
        <color theme="0" tint="-0.499984740745262"/>
        <rFont val="Arial"/>
        <family val="2"/>
      </rPr>
      <t>gasförmiger Biomasse</t>
    </r>
  </si>
  <si>
    <r>
      <t xml:space="preserve">mindestens 50 % durch Nutzung von </t>
    </r>
    <r>
      <rPr>
        <b/>
        <sz val="9"/>
        <color theme="0" tint="-0.499984740745262"/>
        <rFont val="Arial"/>
        <family val="2"/>
      </rPr>
      <t>Abwärme</t>
    </r>
    <r>
      <rPr>
        <sz val="9"/>
        <color theme="0" tint="-0.499984740745262"/>
        <rFont val="Arial"/>
        <family val="2"/>
      </rPr>
      <t xml:space="preserve"> (§ 42 GEG)</t>
    </r>
  </si>
  <si>
    <r>
      <t xml:space="preserve">mindestens 50 % durch Nutzung von Wärme aus einer hocheffizienten </t>
    </r>
    <r>
      <rPr>
        <b/>
        <sz val="9"/>
        <color theme="0" tint="-0.499984740745262"/>
        <rFont val="Arial"/>
        <family val="2"/>
      </rPr>
      <t>KWK-Anlage</t>
    </r>
    <r>
      <rPr>
        <sz val="9"/>
        <color theme="0" tint="-0.499984740745262"/>
        <rFont val="Arial"/>
        <family val="2"/>
      </rPr>
      <t xml:space="preserve"> (§ 43 GEG)</t>
    </r>
  </si>
  <si>
    <r>
      <t xml:space="preserve">mindestens 40 % durch Nutzung von Wärme aus einer </t>
    </r>
    <r>
      <rPr>
        <b/>
        <sz val="9"/>
        <color theme="0" tint="-0.499984740745262"/>
        <rFont val="Arial"/>
        <family val="2"/>
      </rPr>
      <t>Brennstoffzellenheizung</t>
    </r>
    <r>
      <rPr>
        <sz val="9"/>
        <color theme="0" tint="-0.499984740745262"/>
        <rFont val="Arial"/>
        <family val="2"/>
      </rPr>
      <t xml:space="preserve"> (§ 43 GEG)</t>
    </r>
  </si>
  <si>
    <r>
      <t>Unterschreit. H</t>
    </r>
    <r>
      <rPr>
        <b/>
        <vertAlign val="subscript"/>
        <sz val="9"/>
        <color theme="0" tint="-0.499984740745262"/>
        <rFont val="Arial"/>
        <family val="2"/>
      </rPr>
      <t>T</t>
    </r>
    <r>
      <rPr>
        <b/>
        <sz val="9"/>
        <color theme="0" tint="-0.499984740745262"/>
        <rFont val="Arial"/>
        <family val="2"/>
      </rPr>
      <t>'</t>
    </r>
  </si>
  <si>
    <r>
      <t xml:space="preserve">die </t>
    </r>
    <r>
      <rPr>
        <b/>
        <sz val="9"/>
        <color theme="0" tint="-0.499984740745262"/>
        <rFont val="Arial"/>
        <family val="2"/>
      </rPr>
      <t>Unterschreitung</t>
    </r>
    <r>
      <rPr>
        <sz val="9"/>
        <color theme="0" tint="-0.499984740745262"/>
        <rFont val="Arial"/>
        <family val="2"/>
      </rPr>
      <t xml:space="preserve"> der Anforderungen an den baulichen Wärmeschutz (</t>
    </r>
    <r>
      <rPr>
        <b/>
        <sz val="9"/>
        <color theme="0" tint="-0.499984740745262"/>
        <rFont val="Arial"/>
        <family val="2"/>
      </rPr>
      <t>H</t>
    </r>
    <r>
      <rPr>
        <b/>
        <vertAlign val="subscript"/>
        <sz val="9"/>
        <color theme="0" tint="-0.499984740745262"/>
        <rFont val="Arial"/>
        <family val="2"/>
      </rPr>
      <t>T</t>
    </r>
    <r>
      <rPr>
        <b/>
        <sz val="9"/>
        <color theme="0" tint="-0.499984740745262"/>
        <rFont val="Arial"/>
        <family val="2"/>
      </rPr>
      <t>'</t>
    </r>
    <r>
      <rPr>
        <sz val="9"/>
        <color theme="0" tint="-0.499984740745262"/>
        <rFont val="Arial"/>
        <family val="2"/>
      </rPr>
      <t>) um mindestes 15 %</t>
    </r>
  </si>
  <si>
    <r>
      <t>Solar A</t>
    </r>
    <r>
      <rPr>
        <b/>
        <vertAlign val="subscript"/>
        <sz val="9"/>
        <color theme="0" tint="-0.499984740745262"/>
        <rFont val="Arial"/>
        <family val="2"/>
      </rPr>
      <t>min</t>
    </r>
    <r>
      <rPr>
        <b/>
        <sz val="9"/>
        <color theme="0" tint="-0.499984740745262"/>
        <rFont val="Arial"/>
        <family val="2"/>
      </rPr>
      <t xml:space="preserve"> 2WE</t>
    </r>
  </si>
  <si>
    <r>
      <t xml:space="preserve">den Einsatz </t>
    </r>
    <r>
      <rPr>
        <b/>
        <sz val="9"/>
        <color theme="0" tint="-0.499984740745262"/>
        <rFont val="Arial"/>
        <family val="2"/>
      </rPr>
      <t>solarthermischer</t>
    </r>
    <r>
      <rPr>
        <sz val="9"/>
        <color theme="0" tint="-0.499984740745262"/>
        <rFont val="Arial"/>
        <family val="2"/>
      </rPr>
      <t xml:space="preserve"> Anlagen mit einer Fläche von mindestens 0,04 Quadratmetern </t>
    </r>
    <r>
      <rPr>
        <b/>
        <sz val="9"/>
        <color theme="0" tint="-0.499984740745262"/>
        <rFont val="Arial"/>
        <family val="2"/>
      </rPr>
      <t>Aperturfläche</t>
    </r>
    <r>
      <rPr>
        <sz val="9"/>
        <color theme="0" tint="-0.499984740745262"/>
        <rFont val="Arial"/>
        <family val="2"/>
      </rPr>
      <t xml:space="preserve"> je Quadratmeter Nutzfläche bei Wohngebäuden mit </t>
    </r>
    <r>
      <rPr>
        <b/>
        <sz val="9"/>
        <color theme="0" tint="-0.499984740745262"/>
        <rFont val="Arial"/>
        <family val="2"/>
      </rPr>
      <t>höchstens zwei</t>
    </r>
    <r>
      <rPr>
        <sz val="9"/>
        <color theme="0" tint="-0.499984740745262"/>
        <rFont val="Arial"/>
        <family val="2"/>
      </rPr>
      <t xml:space="preserve"> Wohnungen</t>
    </r>
  </si>
  <si>
    <r>
      <t>Solar A</t>
    </r>
    <r>
      <rPr>
        <b/>
        <vertAlign val="subscript"/>
        <sz val="9"/>
        <color theme="0" tint="-0.499984740745262"/>
        <rFont val="Arial"/>
        <family val="2"/>
      </rPr>
      <t>min</t>
    </r>
    <r>
      <rPr>
        <b/>
        <sz val="9"/>
        <color theme="0" tint="-0.499984740745262"/>
        <rFont val="Arial"/>
        <family val="2"/>
      </rPr>
      <t xml:space="preserve"> &gt;2WE</t>
    </r>
  </si>
  <si>
    <r>
      <t xml:space="preserve">den Einsatz </t>
    </r>
    <r>
      <rPr>
        <b/>
        <sz val="9"/>
        <color theme="0" tint="-0.499984740745262"/>
        <rFont val="Arial"/>
        <family val="2"/>
      </rPr>
      <t>solarthermischer</t>
    </r>
    <r>
      <rPr>
        <sz val="9"/>
        <color theme="0" tint="-0.499984740745262"/>
        <rFont val="Arial"/>
        <family val="2"/>
      </rPr>
      <t xml:space="preserve"> Anlagen  mit einer Fläche von mindestens 0,03 Quadratmetern </t>
    </r>
    <r>
      <rPr>
        <b/>
        <sz val="9"/>
        <color theme="0" tint="-0.499984740745262"/>
        <rFont val="Arial"/>
        <family val="2"/>
      </rPr>
      <t>Aperturfläche</t>
    </r>
    <r>
      <rPr>
        <sz val="9"/>
        <color theme="0" tint="-0.499984740745262"/>
        <rFont val="Arial"/>
        <family val="2"/>
      </rPr>
      <t xml:space="preserve"> je Quadratmeter Nutzfläche bei Wohngebäuden mit </t>
    </r>
    <r>
      <rPr>
        <b/>
        <sz val="9"/>
        <color theme="0" tint="-0.499984740745262"/>
        <rFont val="Arial"/>
        <family val="2"/>
      </rPr>
      <t>mehr als zwei</t>
    </r>
    <r>
      <rPr>
        <sz val="9"/>
        <color theme="0" tint="-0.499984740745262"/>
        <rFont val="Arial"/>
        <family val="2"/>
      </rPr>
      <t xml:space="preserve"> Wohnungen</t>
    </r>
  </si>
  <si>
    <r>
      <t>PV P</t>
    </r>
    <r>
      <rPr>
        <b/>
        <vertAlign val="subscript"/>
        <sz val="9"/>
        <color theme="0" tint="-0.499984740745262"/>
        <rFont val="Arial"/>
        <family val="2"/>
      </rPr>
      <t>min</t>
    </r>
  </si>
  <si>
    <r>
      <t xml:space="preserve">den Einsatz von Anlagen zur Erzeugung von </t>
    </r>
    <r>
      <rPr>
        <b/>
        <sz val="9"/>
        <color theme="0" tint="-0.499984740745262"/>
        <rFont val="Arial"/>
        <family val="2"/>
      </rPr>
      <t>Strom</t>
    </r>
    <r>
      <rPr>
        <sz val="9"/>
        <color theme="0" tint="-0.499984740745262"/>
        <rFont val="Arial"/>
        <family val="2"/>
      </rPr>
      <t xml:space="preserve"> aus </t>
    </r>
    <r>
      <rPr>
        <b/>
        <sz val="9"/>
        <color theme="0" tint="-0.499984740745262"/>
        <rFont val="Arial"/>
        <family val="2"/>
      </rPr>
      <t>solarer</t>
    </r>
    <r>
      <rPr>
        <sz val="9"/>
        <color theme="0" tint="-0.499984740745262"/>
        <rFont val="Arial"/>
        <family val="2"/>
      </rPr>
      <t xml:space="preserve"> Strahlungsenergie, deren </t>
    </r>
    <r>
      <rPr>
        <b/>
        <sz val="9"/>
        <color theme="0" tint="-0.499984740745262"/>
        <rFont val="Arial"/>
        <family val="2"/>
      </rPr>
      <t>Nennleistung</t>
    </r>
    <r>
      <rPr>
        <sz val="9"/>
        <color theme="0" tint="-0.499984740745262"/>
        <rFont val="Arial"/>
        <family val="2"/>
      </rPr>
      <t xml:space="preserve"> in Kilowatt mindestens das 0,03fache der Gebäudenutzfläche geteilt durch die Anzahl der beheizten oder gekühlten Geschosse beträgt</t>
    </r>
  </si>
  <si>
    <r>
      <t xml:space="preserve">den Bezug von </t>
    </r>
    <r>
      <rPr>
        <b/>
        <sz val="9"/>
        <color theme="0" tint="-0.499984740745262"/>
        <rFont val="Arial"/>
        <family val="2"/>
      </rPr>
      <t>Fernwärme</t>
    </r>
    <r>
      <rPr>
        <sz val="9"/>
        <color theme="0" tint="-0.499984740745262"/>
        <rFont val="Arial"/>
        <family val="2"/>
      </rPr>
      <t xml:space="preserve"> oder Fernkälte mit einem </t>
    </r>
    <r>
      <rPr>
        <b/>
        <sz val="9"/>
        <color theme="0" tint="-0.499984740745262"/>
        <rFont val="Arial"/>
        <family val="2"/>
      </rPr>
      <t>wesentlichen</t>
    </r>
    <r>
      <rPr>
        <sz val="9"/>
        <color theme="0" tint="-0.499984740745262"/>
        <rFont val="Arial"/>
        <family val="2"/>
      </rPr>
      <t xml:space="preserve"> Anteil aus erneuerbaren Energien</t>
    </r>
  </si>
  <si>
    <r>
      <t xml:space="preserve">den Bezug von </t>
    </r>
    <r>
      <rPr>
        <b/>
        <sz val="9"/>
        <color theme="0" tint="-0.499984740745262"/>
        <rFont val="Arial"/>
        <family val="2"/>
      </rPr>
      <t>Fernwärme</t>
    </r>
    <r>
      <rPr>
        <sz val="9"/>
        <color theme="0" tint="-0.499984740745262"/>
        <rFont val="Arial"/>
        <family val="2"/>
      </rPr>
      <t xml:space="preserve"> oder Fernkälte zu mindestens 50 Prozent aus Anlagen zur Nutzung von </t>
    </r>
    <r>
      <rPr>
        <b/>
        <sz val="9"/>
        <color theme="0" tint="-0.499984740745262"/>
        <rFont val="Arial"/>
        <family val="2"/>
      </rPr>
      <t>Abwärme</t>
    </r>
  </si>
  <si>
    <r>
      <t xml:space="preserve">den Bezug von </t>
    </r>
    <r>
      <rPr>
        <b/>
        <sz val="9"/>
        <color theme="0" tint="-0.499984740745262"/>
        <rFont val="Arial"/>
        <family val="2"/>
      </rPr>
      <t>Fernwärme</t>
    </r>
    <r>
      <rPr>
        <sz val="9"/>
        <color theme="0" tint="-0.499984740745262"/>
        <rFont val="Arial"/>
        <family val="2"/>
      </rPr>
      <t xml:space="preserve"> oder Fernkälte zu mindestens 50 Prozent aus aus</t>
    </r>
    <r>
      <rPr>
        <b/>
        <sz val="9"/>
        <color theme="0" tint="-0.499984740745262"/>
        <rFont val="Arial"/>
        <family val="2"/>
      </rPr>
      <t xml:space="preserve"> KWK-Anlagen </t>
    </r>
  </si>
  <si>
    <r>
      <t xml:space="preserve">die Nutzung von </t>
    </r>
    <r>
      <rPr>
        <b/>
        <sz val="9"/>
        <color theme="0" tint="-0.499984740745262"/>
        <rFont val="Arial"/>
        <family val="2"/>
      </rPr>
      <t>Kälte</t>
    </r>
    <r>
      <rPr>
        <sz val="9"/>
        <color theme="0" tint="-0.499984740745262"/>
        <rFont val="Arial"/>
        <family val="2"/>
      </rPr>
      <t xml:space="preserve"> aus </t>
    </r>
    <r>
      <rPr>
        <b/>
        <sz val="9"/>
        <color theme="0" tint="-0.499984740745262"/>
        <rFont val="Arial"/>
        <family val="2"/>
      </rPr>
      <t>erneuerbaren</t>
    </r>
    <r>
      <rPr>
        <sz val="9"/>
        <color theme="0" tint="-0.499984740745262"/>
        <rFont val="Arial"/>
        <family val="2"/>
      </rPr>
      <t xml:space="preserve"> Energien gemäß den Regelungen in § 41 des GEG</t>
    </r>
  </si>
  <si>
    <t>Anzahl Geschosse</t>
  </si>
  <si>
    <t>Anzahl Wohneinheiten</t>
  </si>
  <si>
    <r>
      <t>hier f</t>
    </r>
    <r>
      <rPr>
        <vertAlign val="subscript"/>
        <sz val="10"/>
        <rFont val="Arial"/>
        <family val="2"/>
      </rPr>
      <t>G</t>
    </r>
    <r>
      <rPr>
        <sz val="10"/>
        <rFont val="Arial"/>
        <family val="2"/>
      </rPr>
      <t xml:space="preserve"> = </t>
    </r>
  </si>
  <si>
    <t>beheizt/gekühlt; ganzzahlig, bei Teilgeschossen runden</t>
  </si>
  <si>
    <r>
      <t>q</t>
    </r>
    <r>
      <rPr>
        <vertAlign val="subscript"/>
        <sz val="10"/>
        <color theme="1"/>
        <rFont val="Arial"/>
        <family val="2"/>
      </rPr>
      <t>h</t>
    </r>
    <r>
      <rPr>
        <sz val="10"/>
        <color theme="1"/>
        <rFont val="Arial"/>
        <family val="2"/>
      </rPr>
      <t xml:space="preserve"> [kWh/(m²a)] = </t>
    </r>
  </si>
  <si>
    <r>
      <t>q</t>
    </r>
    <r>
      <rPr>
        <vertAlign val="subscript"/>
        <sz val="10"/>
        <color theme="1"/>
        <rFont val="Arial"/>
        <family val="2"/>
      </rPr>
      <t>WE,E</t>
    </r>
    <r>
      <rPr>
        <sz val="10"/>
        <color theme="1"/>
        <rFont val="Arial"/>
        <family val="2"/>
      </rPr>
      <t xml:space="preserve"> [kWh/(m²a)] = </t>
    </r>
  </si>
  <si>
    <r>
      <t>q</t>
    </r>
    <r>
      <rPr>
        <vertAlign val="subscript"/>
        <sz val="10"/>
        <color theme="1"/>
        <rFont val="Arial"/>
        <family val="2"/>
      </rPr>
      <t>HE,E</t>
    </r>
    <r>
      <rPr>
        <sz val="10"/>
        <color theme="1"/>
        <rFont val="Arial"/>
        <family val="2"/>
      </rPr>
      <t xml:space="preserve"> [kWh/(m²a)] = </t>
    </r>
  </si>
  <si>
    <r>
      <t>q</t>
    </r>
    <r>
      <rPr>
        <vertAlign val="subscript"/>
        <sz val="10"/>
        <color theme="1"/>
        <rFont val="Arial"/>
        <family val="2"/>
      </rPr>
      <t>P,vorh</t>
    </r>
    <r>
      <rPr>
        <sz val="10"/>
        <color theme="1"/>
        <rFont val="Arial"/>
        <family val="2"/>
      </rPr>
      <t xml:space="preserve">  [kWh/(m²a)] = </t>
    </r>
  </si>
  <si>
    <r>
      <t>q</t>
    </r>
    <r>
      <rPr>
        <vertAlign val="subscript"/>
        <sz val="10"/>
        <color theme="1"/>
        <rFont val="Arial"/>
        <family val="2"/>
      </rPr>
      <t>P,max</t>
    </r>
    <r>
      <rPr>
        <sz val="10"/>
        <color theme="1"/>
        <rFont val="Arial"/>
        <family val="2"/>
      </rPr>
      <t xml:space="preserve"> [kWh/(m²a)] = </t>
    </r>
  </si>
  <si>
    <r>
      <t>Q</t>
    </r>
    <r>
      <rPr>
        <vertAlign val="subscript"/>
        <sz val="10"/>
        <color theme="1"/>
        <rFont val="Arial"/>
        <family val="2"/>
      </rPr>
      <t>P,vorh</t>
    </r>
    <r>
      <rPr>
        <sz val="10"/>
        <color theme="1"/>
        <rFont val="Arial"/>
        <family val="2"/>
      </rPr>
      <t xml:space="preserve"> [kWh/a] = </t>
    </r>
  </si>
  <si>
    <t>nach GEG mit Lüftungsanlage</t>
  </si>
  <si>
    <t>nach GEG mit Fensterlüftung</t>
  </si>
  <si>
    <t>aus GEG</t>
  </si>
  <si>
    <t>GEG / DIN 4108-6</t>
  </si>
  <si>
    <r>
      <t>Treibhausgasemissionen CO</t>
    </r>
    <r>
      <rPr>
        <vertAlign val="subscript"/>
        <sz val="10"/>
        <rFont val="Arial"/>
        <family val="2"/>
      </rPr>
      <t>2</t>
    </r>
    <r>
      <rPr>
        <sz val="10"/>
        <rFont val="Arial"/>
        <family val="2"/>
      </rPr>
      <t>-Äquivalent</t>
    </r>
  </si>
  <si>
    <r>
      <t>q</t>
    </r>
    <r>
      <rPr>
        <vertAlign val="subscript"/>
        <sz val="10"/>
        <rFont val="Arial"/>
        <family val="2"/>
      </rPr>
      <t>WE,E</t>
    </r>
    <r>
      <rPr>
        <sz val="10"/>
        <rFont val="Arial"/>
        <family val="2"/>
      </rPr>
      <t xml:space="preserve"> = Q</t>
    </r>
    <r>
      <rPr>
        <vertAlign val="subscript"/>
        <sz val="10"/>
        <rFont val="Arial"/>
        <family val="2"/>
      </rPr>
      <t>WE,E</t>
    </r>
    <r>
      <rPr>
        <sz val="10"/>
        <rFont val="Arial"/>
        <family val="2"/>
      </rPr>
      <t>'' = [kWh/(m²a)]</t>
    </r>
  </si>
  <si>
    <r>
      <t>q</t>
    </r>
    <r>
      <rPr>
        <vertAlign val="subscript"/>
        <sz val="10"/>
        <rFont val="Arial"/>
        <family val="2"/>
      </rPr>
      <t>HE,E</t>
    </r>
    <r>
      <rPr>
        <sz val="10"/>
        <rFont val="Arial"/>
        <family val="2"/>
      </rPr>
      <t xml:space="preserve"> = Q</t>
    </r>
    <r>
      <rPr>
        <vertAlign val="subscript"/>
        <sz val="10"/>
        <rFont val="Arial"/>
        <family val="2"/>
      </rPr>
      <t>HE,E</t>
    </r>
    <r>
      <rPr>
        <sz val="10"/>
        <rFont val="Arial"/>
        <family val="2"/>
      </rPr>
      <t>'' = [kWh/(m²a)]</t>
    </r>
  </si>
  <si>
    <r>
      <t>q</t>
    </r>
    <r>
      <rPr>
        <vertAlign val="subscript"/>
        <sz val="9"/>
        <color theme="1"/>
        <rFont val="Arial"/>
        <family val="2"/>
      </rPr>
      <t>P</t>
    </r>
    <r>
      <rPr>
        <sz val="9"/>
        <color theme="1"/>
        <rFont val="Arial"/>
        <family val="2"/>
      </rPr>
      <t xml:space="preserve"> = Q</t>
    </r>
    <r>
      <rPr>
        <vertAlign val="subscript"/>
        <sz val="9"/>
        <color theme="1"/>
        <rFont val="Arial"/>
        <family val="2"/>
      </rPr>
      <t>P</t>
    </r>
    <r>
      <rPr>
        <sz val="9"/>
        <color theme="1"/>
        <rFont val="Arial"/>
        <family val="2"/>
      </rPr>
      <t>'' = e</t>
    </r>
    <r>
      <rPr>
        <vertAlign val="subscript"/>
        <sz val="9"/>
        <color theme="1"/>
        <rFont val="Arial"/>
        <family val="2"/>
      </rPr>
      <t>P</t>
    </r>
    <r>
      <rPr>
        <sz val="9"/>
        <color theme="1"/>
        <rFont val="Arial"/>
        <family val="2"/>
      </rPr>
      <t xml:space="preserve"> * (q</t>
    </r>
    <r>
      <rPr>
        <vertAlign val="subscript"/>
        <sz val="9"/>
        <color theme="1"/>
        <rFont val="Arial"/>
        <family val="2"/>
      </rPr>
      <t>h</t>
    </r>
    <r>
      <rPr>
        <sz val="9"/>
        <color theme="1"/>
        <rFont val="Arial"/>
        <family val="2"/>
      </rPr>
      <t xml:space="preserve"> + q</t>
    </r>
    <r>
      <rPr>
        <vertAlign val="subscript"/>
        <sz val="9"/>
        <color theme="1"/>
        <rFont val="Arial"/>
        <family val="2"/>
      </rPr>
      <t>tw</t>
    </r>
    <r>
      <rPr>
        <sz val="9"/>
        <color theme="1"/>
        <rFont val="Arial"/>
        <family val="2"/>
      </rPr>
      <t>) * A</t>
    </r>
    <r>
      <rPr>
        <vertAlign val="subscript"/>
        <sz val="9"/>
        <color theme="1"/>
        <rFont val="Arial"/>
        <family val="2"/>
      </rPr>
      <t>N</t>
    </r>
    <r>
      <rPr>
        <sz val="9"/>
        <color theme="1"/>
        <rFont val="Arial"/>
        <family val="2"/>
      </rPr>
      <t xml:space="preserve">     mit     q</t>
    </r>
    <r>
      <rPr>
        <vertAlign val="subscript"/>
        <sz val="9"/>
        <color theme="1"/>
        <rFont val="Arial"/>
        <family val="2"/>
      </rPr>
      <t>tw</t>
    </r>
    <r>
      <rPr>
        <sz val="9"/>
        <color theme="1"/>
        <rFont val="Arial"/>
        <family val="2"/>
      </rPr>
      <t xml:space="preserve"> = 12,5 kWh/(m²a)</t>
    </r>
  </si>
  <si>
    <t>m²-Bezug</t>
  </si>
  <si>
    <t>[Energieklasse]</t>
  </si>
  <si>
    <t>Hinweis: die jeweilige Maßnahme wird über eine Kurzbezeichnung (nächster Abschnitt) ausgewählt, die genauen Bedingungen sind dort der jeweiligen Langform zu entnehmen.</t>
  </si>
  <si>
    <t>Hinweis: Angabe auf Blatt Gebaeude</t>
  </si>
  <si>
    <t>Hinweis: Angabe auf Blatt Energieausweis</t>
  </si>
  <si>
    <r>
      <t>H</t>
    </r>
    <r>
      <rPr>
        <vertAlign val="subscript"/>
        <sz val="10"/>
        <color theme="1"/>
        <rFont val="Arial"/>
        <family val="2"/>
      </rPr>
      <t>T</t>
    </r>
    <r>
      <rPr>
        <sz val="10"/>
        <color theme="1"/>
        <rFont val="Arial"/>
        <family val="2"/>
      </rPr>
      <t>'</t>
    </r>
    <r>
      <rPr>
        <vertAlign val="subscript"/>
        <sz val="10"/>
        <color theme="1"/>
        <rFont val="Arial"/>
        <family val="2"/>
      </rPr>
      <t>vorh</t>
    </r>
    <r>
      <rPr>
        <sz val="10"/>
        <color theme="1"/>
        <rFont val="Arial"/>
        <family val="2"/>
      </rPr>
      <t xml:space="preserve"> [W/(m²K)] = </t>
    </r>
  </si>
  <si>
    <t>Gebäudeadresse Straße und Nr.</t>
  </si>
  <si>
    <t>Straße, Nr.</t>
  </si>
  <si>
    <t>Mustermann</t>
  </si>
  <si>
    <t>spezifischer flächenbezogener Transmissionswärmeverlust</t>
  </si>
  <si>
    <r>
      <t>q</t>
    </r>
    <r>
      <rPr>
        <vertAlign val="subscript"/>
        <sz val="10"/>
        <color theme="6" tint="-0.249977111117893"/>
        <rFont val="Arial"/>
        <family val="2"/>
      </rPr>
      <t>HE,E</t>
    </r>
    <r>
      <rPr>
        <sz val="10"/>
        <color theme="6" tint="-0.249977111117893"/>
        <rFont val="Arial"/>
        <family val="2"/>
      </rPr>
      <t xml:space="preserve"> * f</t>
    </r>
    <r>
      <rPr>
        <vertAlign val="subscript"/>
        <sz val="10"/>
        <color theme="6" tint="-0.249977111117893"/>
        <rFont val="Arial"/>
        <family val="2"/>
      </rPr>
      <t>CO2</t>
    </r>
  </si>
  <si>
    <r>
      <t>q</t>
    </r>
    <r>
      <rPr>
        <vertAlign val="subscript"/>
        <sz val="10"/>
        <color theme="6" tint="-0.249977111117893"/>
        <rFont val="Arial"/>
        <family val="2"/>
      </rPr>
      <t>TW,E,i</t>
    </r>
    <r>
      <rPr>
        <sz val="10"/>
        <color theme="6" tint="-0.249977111117893"/>
        <rFont val="Arial"/>
        <family val="2"/>
      </rPr>
      <t xml:space="preserve"> * f</t>
    </r>
    <r>
      <rPr>
        <vertAlign val="subscript"/>
        <sz val="10"/>
        <color theme="6" tint="-0.249977111117893"/>
        <rFont val="Arial"/>
        <family val="2"/>
      </rPr>
      <t>CO2,i</t>
    </r>
  </si>
  <si>
    <r>
      <t>q</t>
    </r>
    <r>
      <rPr>
        <vertAlign val="subscript"/>
        <sz val="10"/>
        <color theme="6" tint="-0.249977111117893"/>
        <rFont val="Arial"/>
        <family val="2"/>
      </rPr>
      <t>TW,HE,E</t>
    </r>
    <r>
      <rPr>
        <sz val="10"/>
        <color theme="6" tint="-0.249977111117893"/>
        <rFont val="Arial"/>
        <family val="2"/>
      </rPr>
      <t xml:space="preserve"> * f</t>
    </r>
    <r>
      <rPr>
        <vertAlign val="subscript"/>
        <sz val="10"/>
        <color theme="6" tint="-0.249977111117893"/>
        <rFont val="Arial"/>
        <family val="2"/>
      </rPr>
      <t>CO2</t>
    </r>
  </si>
  <si>
    <r>
      <t>q</t>
    </r>
    <r>
      <rPr>
        <vertAlign val="subscript"/>
        <sz val="10"/>
        <color theme="6" tint="-0.249977111117893"/>
        <rFont val="Arial"/>
        <family val="2"/>
      </rPr>
      <t>E,i</t>
    </r>
    <r>
      <rPr>
        <sz val="10"/>
        <color theme="6" tint="-0.249977111117893"/>
        <rFont val="Arial"/>
        <family val="2"/>
      </rPr>
      <t xml:space="preserve"> * f</t>
    </r>
    <r>
      <rPr>
        <vertAlign val="subscript"/>
        <sz val="10"/>
        <color theme="6" tint="-0.249977111117893"/>
        <rFont val="Arial"/>
        <family val="2"/>
      </rPr>
      <t>CO2,i</t>
    </r>
  </si>
  <si>
    <t>2 Wärmeverluste</t>
  </si>
  <si>
    <t>10,23 * 2,98
- 2,63 * 2,98</t>
  </si>
  <si>
    <r>
      <t xml:space="preserve">Elektro-Wärmepumpe Wasser/Wasser, 55/45°C, </t>
    </r>
    <r>
      <rPr>
        <b/>
        <sz val="9"/>
        <color theme="1"/>
        <rFont val="Arial"/>
        <family val="2"/>
      </rPr>
      <t>mit</t>
    </r>
    <r>
      <rPr>
        <sz val="9"/>
        <color theme="1"/>
        <rFont val="Arial"/>
        <family val="2"/>
      </rPr>
      <t xml:space="preserve"> elektrischer Ergänzungsheizung</t>
    </r>
  </si>
  <si>
    <r>
      <t xml:space="preserve">Elektro-Wärmepumpe Wasser/Wasser, </t>
    </r>
    <r>
      <rPr>
        <b/>
        <sz val="9"/>
        <color theme="1"/>
        <rFont val="Arial"/>
        <family val="2"/>
      </rPr>
      <t>35/28</t>
    </r>
    <r>
      <rPr>
        <sz val="9"/>
        <color theme="1"/>
        <rFont val="Arial"/>
        <family val="2"/>
      </rPr>
      <t xml:space="preserve">°C, </t>
    </r>
    <r>
      <rPr>
        <b/>
        <sz val="9"/>
        <color theme="1"/>
        <rFont val="Arial"/>
        <family val="2"/>
      </rPr>
      <t>ohne</t>
    </r>
    <r>
      <rPr>
        <sz val="9"/>
        <color theme="1"/>
        <rFont val="Arial"/>
        <family val="2"/>
      </rPr>
      <t xml:space="preserve"> elektrische Ergänzungsheizung</t>
    </r>
  </si>
  <si>
    <r>
      <t xml:space="preserve">Elektro-Wärmepumpe Wasser/Wasser, 35/28°C, </t>
    </r>
    <r>
      <rPr>
        <b/>
        <sz val="9"/>
        <color theme="1"/>
        <rFont val="Arial"/>
        <family val="2"/>
      </rPr>
      <t>mit</t>
    </r>
    <r>
      <rPr>
        <sz val="9"/>
        <color theme="1"/>
        <rFont val="Arial"/>
        <family val="2"/>
      </rPr>
      <t xml:space="preserve"> elektrischer Ergänzungsheizung</t>
    </r>
  </si>
  <si>
    <r>
      <t xml:space="preserve">Elektro-Wärmepumpe </t>
    </r>
    <r>
      <rPr>
        <b/>
        <sz val="9"/>
        <color theme="1"/>
        <rFont val="Arial"/>
        <family val="2"/>
      </rPr>
      <t>Wasser</t>
    </r>
    <r>
      <rPr>
        <sz val="9"/>
        <color theme="1"/>
        <rFont val="Arial"/>
        <family val="2"/>
      </rPr>
      <t xml:space="preserve">/Wasser, </t>
    </r>
    <r>
      <rPr>
        <b/>
        <sz val="9"/>
        <color theme="1"/>
        <rFont val="Arial"/>
        <family val="2"/>
      </rPr>
      <t>55/45</t>
    </r>
    <r>
      <rPr>
        <sz val="9"/>
        <color theme="1"/>
        <rFont val="Arial"/>
        <family val="2"/>
      </rPr>
      <t xml:space="preserve">°C, </t>
    </r>
    <r>
      <rPr>
        <b/>
        <sz val="9"/>
        <color theme="1"/>
        <rFont val="Arial"/>
        <family val="2"/>
      </rPr>
      <t>ohne</t>
    </r>
    <r>
      <rPr>
        <sz val="9"/>
        <color theme="1"/>
        <rFont val="Arial"/>
        <family val="2"/>
      </rPr>
      <t xml:space="preserve"> elektrische Ergänzungsheizung</t>
    </r>
  </si>
  <si>
    <r>
      <t xml:space="preserve">Elektro-Wärmepumpe </t>
    </r>
    <r>
      <rPr>
        <b/>
        <sz val="9"/>
        <color theme="1"/>
        <rFont val="Arial"/>
        <family val="2"/>
      </rPr>
      <t>Sole</t>
    </r>
    <r>
      <rPr>
        <sz val="9"/>
        <color theme="1"/>
        <rFont val="Arial"/>
        <family val="2"/>
      </rPr>
      <t>/Wasser,</t>
    </r>
    <r>
      <rPr>
        <b/>
        <sz val="9"/>
        <color theme="1"/>
        <rFont val="Arial"/>
        <family val="2"/>
      </rPr>
      <t xml:space="preserve"> 55/45</t>
    </r>
    <r>
      <rPr>
        <sz val="9"/>
        <color theme="1"/>
        <rFont val="Arial"/>
        <family val="2"/>
      </rPr>
      <t xml:space="preserve">°C, </t>
    </r>
    <r>
      <rPr>
        <b/>
        <sz val="9"/>
        <color theme="1"/>
        <rFont val="Arial"/>
        <family val="2"/>
      </rPr>
      <t>ohne</t>
    </r>
    <r>
      <rPr>
        <sz val="9"/>
        <color theme="1"/>
        <rFont val="Arial"/>
        <family val="2"/>
      </rPr>
      <t xml:space="preserve"> elektrische Ergänzungsheizung</t>
    </r>
  </si>
  <si>
    <r>
      <t xml:space="preserve">Elektro-Wärmepumpe Sole/Wasser, 55/45°C, </t>
    </r>
    <r>
      <rPr>
        <b/>
        <sz val="9"/>
        <color theme="1"/>
        <rFont val="Arial"/>
        <family val="2"/>
      </rPr>
      <t>mit</t>
    </r>
    <r>
      <rPr>
        <sz val="9"/>
        <color theme="1"/>
        <rFont val="Arial"/>
        <family val="2"/>
      </rPr>
      <t xml:space="preserve"> elektrischer Ergänzungsheizung</t>
    </r>
  </si>
  <si>
    <r>
      <t xml:space="preserve">Elektro-Wärmepumpe Sole/Wasser, </t>
    </r>
    <r>
      <rPr>
        <b/>
        <sz val="9"/>
        <color theme="1"/>
        <rFont val="Arial"/>
        <family val="2"/>
      </rPr>
      <t>35/28</t>
    </r>
    <r>
      <rPr>
        <sz val="9"/>
        <color theme="1"/>
        <rFont val="Arial"/>
        <family val="2"/>
      </rPr>
      <t xml:space="preserve">°C, </t>
    </r>
    <r>
      <rPr>
        <b/>
        <sz val="9"/>
        <color theme="1"/>
        <rFont val="Arial"/>
        <family val="2"/>
      </rPr>
      <t>ohne</t>
    </r>
    <r>
      <rPr>
        <sz val="9"/>
        <color theme="1"/>
        <rFont val="Arial"/>
        <family val="2"/>
      </rPr>
      <t xml:space="preserve"> elektrische Ergänzungsheizung</t>
    </r>
  </si>
  <si>
    <r>
      <t xml:space="preserve">Elektro-Wärmepumpe Sole/Wasser, 35/28°C, </t>
    </r>
    <r>
      <rPr>
        <b/>
        <sz val="9"/>
        <color theme="1"/>
        <rFont val="Arial"/>
        <family val="2"/>
      </rPr>
      <t>mit</t>
    </r>
    <r>
      <rPr>
        <sz val="9"/>
        <color theme="1"/>
        <rFont val="Arial"/>
        <family val="2"/>
      </rPr>
      <t xml:space="preserve"> elektrischer Ergänzungsheizung</t>
    </r>
  </si>
  <si>
    <r>
      <t xml:space="preserve">Elektro-Wärmepumpe </t>
    </r>
    <r>
      <rPr>
        <b/>
        <sz val="9"/>
        <color theme="1"/>
        <rFont val="Arial"/>
        <family val="2"/>
      </rPr>
      <t>Luft</t>
    </r>
    <r>
      <rPr>
        <sz val="9"/>
        <color theme="1"/>
        <rFont val="Arial"/>
        <family val="2"/>
      </rPr>
      <t xml:space="preserve">/Wasser, </t>
    </r>
    <r>
      <rPr>
        <b/>
        <sz val="9"/>
        <color theme="1"/>
        <rFont val="Arial"/>
        <family val="2"/>
      </rPr>
      <t>55/45</t>
    </r>
    <r>
      <rPr>
        <sz val="9"/>
        <color theme="1"/>
        <rFont val="Arial"/>
        <family val="2"/>
      </rPr>
      <t xml:space="preserve">°C, </t>
    </r>
    <r>
      <rPr>
        <b/>
        <sz val="9"/>
        <color theme="1"/>
        <rFont val="Arial"/>
        <family val="2"/>
      </rPr>
      <t>ohne</t>
    </r>
    <r>
      <rPr>
        <sz val="9"/>
        <color theme="1"/>
        <rFont val="Arial"/>
        <family val="2"/>
      </rPr>
      <t xml:space="preserve"> elektrische Ergänzungsheizung</t>
    </r>
  </si>
  <si>
    <r>
      <t xml:space="preserve">Elektro-Wärmepumpe Luft/Wasser, 55/45°C, </t>
    </r>
    <r>
      <rPr>
        <b/>
        <sz val="9"/>
        <color theme="1"/>
        <rFont val="Arial"/>
        <family val="2"/>
      </rPr>
      <t>mit</t>
    </r>
    <r>
      <rPr>
        <sz val="9"/>
        <color theme="1"/>
        <rFont val="Arial"/>
        <family val="2"/>
      </rPr>
      <t xml:space="preserve"> elektrischer Ergänzungsheizung</t>
    </r>
  </si>
  <si>
    <r>
      <t xml:space="preserve">Elektro-Wärmepumpe Luft/Wasser, </t>
    </r>
    <r>
      <rPr>
        <b/>
        <sz val="9"/>
        <color theme="1"/>
        <rFont val="Arial"/>
        <family val="2"/>
      </rPr>
      <t>35/28</t>
    </r>
    <r>
      <rPr>
        <sz val="9"/>
        <color theme="1"/>
        <rFont val="Arial"/>
        <family val="2"/>
      </rPr>
      <t xml:space="preserve">°C, </t>
    </r>
    <r>
      <rPr>
        <b/>
        <sz val="9"/>
        <color theme="1"/>
        <rFont val="Arial"/>
        <family val="2"/>
      </rPr>
      <t>ohne</t>
    </r>
    <r>
      <rPr>
        <sz val="9"/>
        <color theme="1"/>
        <rFont val="Arial"/>
        <family val="2"/>
      </rPr>
      <t xml:space="preserve"> elektrische Ergänzungsheizung</t>
    </r>
  </si>
  <si>
    <r>
      <t xml:space="preserve">Elektro-Wärmepumpe Luft/Wasser, 35/28°C, </t>
    </r>
    <r>
      <rPr>
        <b/>
        <sz val="9"/>
        <color theme="1"/>
        <rFont val="Arial"/>
        <family val="2"/>
      </rPr>
      <t>mit</t>
    </r>
    <r>
      <rPr>
        <sz val="9"/>
        <color theme="1"/>
        <rFont val="Arial"/>
        <family val="2"/>
      </rPr>
      <t xml:space="preserve"> elektrischer Ergänzungsheizung</t>
    </r>
  </si>
  <si>
    <r>
      <t xml:space="preserve">Elektro-Wärmepumpe </t>
    </r>
    <r>
      <rPr>
        <b/>
        <sz val="9"/>
        <color theme="1"/>
        <rFont val="Arial"/>
        <family val="2"/>
      </rPr>
      <t>Abluft</t>
    </r>
    <r>
      <rPr>
        <sz val="9"/>
        <color theme="1"/>
        <rFont val="Arial"/>
        <family val="2"/>
      </rPr>
      <t xml:space="preserve">/Wasser, </t>
    </r>
    <r>
      <rPr>
        <b/>
        <sz val="9"/>
        <color theme="1"/>
        <rFont val="Arial"/>
        <family val="2"/>
      </rPr>
      <t>55/45</t>
    </r>
    <r>
      <rPr>
        <sz val="9"/>
        <color theme="1"/>
        <rFont val="Arial"/>
        <family val="2"/>
      </rPr>
      <t xml:space="preserve">°C, </t>
    </r>
    <r>
      <rPr>
        <b/>
        <sz val="9"/>
        <color theme="1"/>
        <rFont val="Arial"/>
        <family val="2"/>
      </rPr>
      <t>ohne</t>
    </r>
    <r>
      <rPr>
        <sz val="9"/>
        <color theme="1"/>
        <rFont val="Arial"/>
        <family val="2"/>
      </rPr>
      <t xml:space="preserve"> elektrische Ergänzungsheizung</t>
    </r>
  </si>
  <si>
    <r>
      <t xml:space="preserve">Elektro-Wärmepumpe Abluft/Wasser, 55/45°C, </t>
    </r>
    <r>
      <rPr>
        <b/>
        <sz val="9"/>
        <color theme="1"/>
        <rFont val="Arial"/>
        <family val="2"/>
      </rPr>
      <t>mit</t>
    </r>
    <r>
      <rPr>
        <sz val="9"/>
        <color theme="1"/>
        <rFont val="Arial"/>
        <family val="2"/>
      </rPr>
      <t xml:space="preserve"> elektrischer Ergänzungsheizung</t>
    </r>
  </si>
  <si>
    <r>
      <t xml:space="preserve">Elektro-Wärmepumpe Abluft/Wasser, </t>
    </r>
    <r>
      <rPr>
        <b/>
        <sz val="9"/>
        <color theme="1"/>
        <rFont val="Arial"/>
        <family val="2"/>
      </rPr>
      <t>35/28</t>
    </r>
    <r>
      <rPr>
        <sz val="9"/>
        <color theme="1"/>
        <rFont val="Arial"/>
        <family val="2"/>
      </rPr>
      <t xml:space="preserve">°C, </t>
    </r>
    <r>
      <rPr>
        <b/>
        <sz val="9"/>
        <color theme="1"/>
        <rFont val="Arial"/>
        <family val="2"/>
      </rPr>
      <t>ohne</t>
    </r>
    <r>
      <rPr>
        <sz val="9"/>
        <color theme="1"/>
        <rFont val="Arial"/>
        <family val="2"/>
      </rPr>
      <t xml:space="preserve"> elektrische Ergänzungsheizung</t>
    </r>
  </si>
  <si>
    <r>
      <t xml:space="preserve">Elektro-Wärmepumpe Abluft/Wasser, 35/28°C, </t>
    </r>
    <r>
      <rPr>
        <b/>
        <sz val="9"/>
        <color theme="1"/>
        <rFont val="Arial"/>
        <family val="2"/>
      </rPr>
      <t>mit</t>
    </r>
    <r>
      <rPr>
        <sz val="9"/>
        <color theme="1"/>
        <rFont val="Arial"/>
        <family val="2"/>
      </rPr>
      <t xml:space="preserve"> elektrischer Ergänzungsheizung</t>
    </r>
  </si>
  <si>
    <t>WP Wasser 55/45°C + E-Hzg.</t>
  </si>
  <si>
    <t>WP Wasser 55/45°C monov.</t>
  </si>
  <si>
    <t>AbZuluft 60% DC, zentral</t>
  </si>
  <si>
    <t>AbZuluft 80% DC, zentral</t>
  </si>
  <si>
    <t>AbZuluft 60% AC, zentral</t>
  </si>
  <si>
    <r>
      <t xml:space="preserve">Ziel </t>
    </r>
    <r>
      <rPr>
        <sz val="10"/>
        <color theme="5"/>
        <rFont val="Arial"/>
        <family val="2"/>
      </rPr>
      <t>(wenn mit $ beginnt, dann beim Laden relevant)</t>
    </r>
  </si>
  <si>
    <t>BW-Kessel verbess.</t>
  </si>
  <si>
    <r>
      <t>q</t>
    </r>
    <r>
      <rPr>
        <vertAlign val="subscript"/>
        <sz val="10"/>
        <rFont val="Arial"/>
        <family val="2"/>
      </rPr>
      <t>WE,E</t>
    </r>
    <r>
      <rPr>
        <sz val="10"/>
        <rFont val="Arial"/>
        <family val="2"/>
      </rPr>
      <t xml:space="preserve"> = Q</t>
    </r>
    <r>
      <rPr>
        <vertAlign val="subscript"/>
        <sz val="10"/>
        <rFont val="Arial"/>
        <family val="2"/>
      </rPr>
      <t>WE,E</t>
    </r>
    <r>
      <rPr>
        <sz val="10"/>
        <rFont val="Arial"/>
        <family val="2"/>
      </rPr>
      <t>'' [kWh/(m²a)] =</t>
    </r>
  </si>
  <si>
    <r>
      <t>q</t>
    </r>
    <r>
      <rPr>
        <vertAlign val="subscript"/>
        <sz val="10"/>
        <rFont val="Arial"/>
        <family val="2"/>
      </rPr>
      <t>HE,E</t>
    </r>
    <r>
      <rPr>
        <sz val="10"/>
        <rFont val="Arial"/>
        <family val="2"/>
      </rPr>
      <t xml:space="preserve"> = Q</t>
    </r>
    <r>
      <rPr>
        <vertAlign val="subscript"/>
        <sz val="10"/>
        <rFont val="Arial"/>
        <family val="2"/>
      </rPr>
      <t>HE,E</t>
    </r>
    <r>
      <rPr>
        <sz val="10"/>
        <rFont val="Arial"/>
        <family val="2"/>
      </rPr>
      <t>'' [kWh/(m²a)] =</t>
    </r>
  </si>
  <si>
    <r>
      <t>x</t>
    </r>
    <r>
      <rPr>
        <vertAlign val="subscript"/>
        <sz val="10"/>
        <rFont val="Arial"/>
        <family val="2"/>
      </rPr>
      <t>CO2</t>
    </r>
    <r>
      <rPr>
        <sz val="10"/>
        <rFont val="Arial"/>
        <family val="2"/>
      </rPr>
      <t xml:space="preserve"> [kg/(m²a)] =</t>
    </r>
  </si>
  <si>
    <r>
      <t>q</t>
    </r>
    <r>
      <rPr>
        <vertAlign val="subscript"/>
        <sz val="10"/>
        <rFont val="Arial"/>
        <family val="2"/>
      </rPr>
      <t>P,Ref</t>
    </r>
    <r>
      <rPr>
        <sz val="10"/>
        <rFont val="Arial"/>
        <family val="2"/>
      </rPr>
      <t xml:space="preserve"> = Q</t>
    </r>
    <r>
      <rPr>
        <vertAlign val="subscript"/>
        <sz val="10"/>
        <rFont val="Arial"/>
        <family val="2"/>
      </rPr>
      <t>P,Ref</t>
    </r>
    <r>
      <rPr>
        <sz val="10"/>
        <rFont val="Arial"/>
        <family val="2"/>
      </rPr>
      <t>'' [kWh/(m²a)] =</t>
    </r>
  </si>
  <si>
    <r>
      <t>q</t>
    </r>
    <r>
      <rPr>
        <vertAlign val="subscript"/>
        <sz val="10"/>
        <rFont val="Arial"/>
        <family val="2"/>
      </rPr>
      <t>P,vorh</t>
    </r>
    <r>
      <rPr>
        <sz val="10"/>
        <rFont val="Arial"/>
        <family val="2"/>
      </rPr>
      <t xml:space="preserve"> = Q</t>
    </r>
    <r>
      <rPr>
        <vertAlign val="subscript"/>
        <sz val="10"/>
        <rFont val="Arial"/>
        <family val="2"/>
      </rPr>
      <t>P,vorh</t>
    </r>
    <r>
      <rPr>
        <sz val="10"/>
        <rFont val="Arial"/>
        <family val="2"/>
      </rPr>
      <t>'' = e</t>
    </r>
    <r>
      <rPr>
        <vertAlign val="subscript"/>
        <sz val="10"/>
        <rFont val="Arial"/>
        <family val="2"/>
      </rPr>
      <t>P</t>
    </r>
    <r>
      <rPr>
        <sz val="10"/>
        <rFont val="Arial"/>
        <family val="2"/>
      </rPr>
      <t xml:space="preserve"> * (q</t>
    </r>
    <r>
      <rPr>
        <vertAlign val="subscript"/>
        <sz val="10"/>
        <rFont val="Arial"/>
        <family val="2"/>
      </rPr>
      <t>h</t>
    </r>
    <r>
      <rPr>
        <sz val="10"/>
        <rFont val="Arial"/>
        <family val="2"/>
      </rPr>
      <t xml:space="preserve"> + 12,5) [kWh/(m²a)] =</t>
    </r>
  </si>
  <si>
    <r>
      <t>Q</t>
    </r>
    <r>
      <rPr>
        <vertAlign val="subscript"/>
        <sz val="10"/>
        <rFont val="Arial"/>
        <family val="2"/>
      </rPr>
      <t>T,NA,M</t>
    </r>
    <r>
      <rPr>
        <sz val="10"/>
        <rFont val="Arial"/>
        <family val="2"/>
      </rPr>
      <t xml:space="preserve"> = Q</t>
    </r>
    <r>
      <rPr>
        <vertAlign val="subscript"/>
        <sz val="10"/>
        <rFont val="Arial"/>
        <family val="2"/>
      </rPr>
      <t>T.M</t>
    </r>
    <r>
      <rPr>
        <sz val="10"/>
        <rFont val="Arial"/>
        <family val="2"/>
      </rPr>
      <t xml:space="preserve"> * Q</t>
    </r>
    <r>
      <rPr>
        <vertAlign val="subscript"/>
        <sz val="10"/>
        <rFont val="Arial"/>
        <family val="2"/>
      </rPr>
      <t>l,NA,M</t>
    </r>
    <r>
      <rPr>
        <sz val="10"/>
        <rFont val="Arial"/>
        <family val="2"/>
      </rPr>
      <t xml:space="preserve"> / Q</t>
    </r>
    <r>
      <rPr>
        <vertAlign val="subscript"/>
        <sz val="10"/>
        <rFont val="Arial"/>
        <family val="2"/>
      </rPr>
      <t>l,M</t>
    </r>
    <r>
      <rPr>
        <sz val="10"/>
        <rFont val="Arial"/>
        <family val="2"/>
      </rPr>
      <t xml:space="preserve"> [kWh/a] =</t>
    </r>
  </si>
  <si>
    <r>
      <t>Q</t>
    </r>
    <r>
      <rPr>
        <vertAlign val="subscript"/>
        <sz val="10"/>
        <rFont val="Arial"/>
        <family val="2"/>
      </rPr>
      <t>V,NA,M</t>
    </r>
    <r>
      <rPr>
        <sz val="10"/>
        <rFont val="Arial"/>
        <family val="2"/>
      </rPr>
      <t xml:space="preserve"> = Q</t>
    </r>
    <r>
      <rPr>
        <vertAlign val="subscript"/>
        <sz val="10"/>
        <rFont val="Arial"/>
        <family val="2"/>
      </rPr>
      <t>V.M</t>
    </r>
    <r>
      <rPr>
        <sz val="10"/>
        <rFont val="Arial"/>
        <family val="2"/>
      </rPr>
      <t xml:space="preserve"> * Q</t>
    </r>
    <r>
      <rPr>
        <vertAlign val="subscript"/>
        <sz val="10"/>
        <rFont val="Arial"/>
        <family val="2"/>
      </rPr>
      <t>l,NA,M</t>
    </r>
    <r>
      <rPr>
        <sz val="10"/>
        <rFont val="Arial"/>
        <family val="2"/>
      </rPr>
      <t xml:space="preserve"> / Q</t>
    </r>
    <r>
      <rPr>
        <vertAlign val="subscript"/>
        <sz val="10"/>
        <rFont val="Arial"/>
        <family val="2"/>
      </rPr>
      <t>l,M</t>
    </r>
    <r>
      <rPr>
        <sz val="10"/>
        <rFont val="Arial"/>
        <family val="2"/>
      </rPr>
      <t xml:space="preserve"> [kWh/a] =</t>
    </r>
  </si>
  <si>
    <r>
      <t>Q</t>
    </r>
    <r>
      <rPr>
        <vertAlign val="subscript"/>
        <sz val="10"/>
        <rFont val="Arial"/>
        <family val="2"/>
      </rPr>
      <t>g,nutz,M</t>
    </r>
    <r>
      <rPr>
        <sz val="10"/>
        <rFont val="Arial"/>
        <family val="2"/>
      </rPr>
      <t xml:space="preserve"> = η</t>
    </r>
    <r>
      <rPr>
        <vertAlign val="subscript"/>
        <sz val="10"/>
        <rFont val="Arial"/>
        <family val="2"/>
      </rPr>
      <t>M</t>
    </r>
    <r>
      <rPr>
        <sz val="10"/>
        <rFont val="Arial"/>
        <family val="2"/>
      </rPr>
      <t xml:space="preserve"> * (Q</t>
    </r>
    <r>
      <rPr>
        <vertAlign val="subscript"/>
        <sz val="10"/>
        <rFont val="Arial"/>
        <family val="2"/>
      </rPr>
      <t>s,t,M</t>
    </r>
    <r>
      <rPr>
        <sz val="10"/>
        <rFont val="Arial"/>
        <family val="2"/>
      </rPr>
      <t xml:space="preserve"> + Q</t>
    </r>
    <r>
      <rPr>
        <vertAlign val="subscript"/>
        <sz val="10"/>
        <rFont val="Arial"/>
        <family val="2"/>
      </rPr>
      <t>i,M</t>
    </r>
    <r>
      <rPr>
        <sz val="10"/>
        <rFont val="Arial"/>
        <family val="2"/>
      </rPr>
      <t>) [kWh/a] =</t>
    </r>
  </si>
  <si>
    <r>
      <t>Q</t>
    </r>
    <r>
      <rPr>
        <vertAlign val="subscript"/>
        <sz val="10"/>
        <rFont val="Arial"/>
        <family val="2"/>
      </rPr>
      <t>g,s,t,nutz,M</t>
    </r>
    <r>
      <rPr>
        <sz val="10"/>
        <rFont val="Arial"/>
        <family val="2"/>
      </rPr>
      <t xml:space="preserve"> = η</t>
    </r>
    <r>
      <rPr>
        <vertAlign val="subscript"/>
        <sz val="10"/>
        <rFont val="Arial"/>
        <family val="2"/>
      </rPr>
      <t>M</t>
    </r>
    <r>
      <rPr>
        <sz val="10"/>
        <rFont val="Arial"/>
        <family val="2"/>
      </rPr>
      <t xml:space="preserve"> * Q</t>
    </r>
    <r>
      <rPr>
        <vertAlign val="subscript"/>
        <sz val="10"/>
        <rFont val="Arial"/>
        <family val="2"/>
      </rPr>
      <t>s,t,M</t>
    </r>
    <r>
      <rPr>
        <sz val="10"/>
        <rFont val="Arial"/>
        <family val="2"/>
      </rPr>
      <t xml:space="preserve"> [kWh/a] =</t>
    </r>
  </si>
  <si>
    <r>
      <t>Q</t>
    </r>
    <r>
      <rPr>
        <vertAlign val="subscript"/>
        <sz val="10"/>
        <rFont val="Arial"/>
        <family val="2"/>
      </rPr>
      <t>g,i,nutz,M</t>
    </r>
    <r>
      <rPr>
        <sz val="10"/>
        <rFont val="Arial"/>
        <family val="2"/>
      </rPr>
      <t xml:space="preserve"> = η</t>
    </r>
    <r>
      <rPr>
        <vertAlign val="subscript"/>
        <sz val="10"/>
        <rFont val="Arial"/>
        <family val="2"/>
      </rPr>
      <t>M</t>
    </r>
    <r>
      <rPr>
        <sz val="10"/>
        <rFont val="Arial"/>
        <family val="2"/>
      </rPr>
      <t xml:space="preserve"> * Q</t>
    </r>
    <r>
      <rPr>
        <vertAlign val="subscript"/>
        <sz val="10"/>
        <rFont val="Arial"/>
        <family val="2"/>
      </rPr>
      <t>i,M</t>
    </r>
    <r>
      <rPr>
        <sz val="10"/>
        <rFont val="Arial"/>
        <family val="2"/>
      </rPr>
      <t xml:space="preserve"> [kWh/a] =</t>
    </r>
  </si>
  <si>
    <r>
      <t>Q</t>
    </r>
    <r>
      <rPr>
        <vertAlign val="subscript"/>
        <sz val="10"/>
        <rFont val="Arial"/>
        <family val="2"/>
      </rPr>
      <t>g,i,nutz,M</t>
    </r>
    <r>
      <rPr>
        <sz val="10"/>
        <rFont val="Arial"/>
        <family val="2"/>
      </rPr>
      <t xml:space="preserve"> AW [kWh/a] =</t>
    </r>
  </si>
  <si>
    <r>
      <t>Q</t>
    </r>
    <r>
      <rPr>
        <vertAlign val="subscript"/>
        <sz val="10"/>
        <rFont val="Arial"/>
        <family val="2"/>
      </rPr>
      <t>g,i,nutz,M</t>
    </r>
    <r>
      <rPr>
        <sz val="10"/>
        <rFont val="Arial"/>
        <family val="2"/>
      </rPr>
      <t xml:space="preserve"> D [kWh/a] =</t>
    </r>
  </si>
  <si>
    <r>
      <t>Q</t>
    </r>
    <r>
      <rPr>
        <vertAlign val="subscript"/>
        <sz val="10"/>
        <rFont val="Arial"/>
        <family val="2"/>
      </rPr>
      <t>s,op,M</t>
    </r>
    <r>
      <rPr>
        <sz val="10"/>
        <rFont val="Arial"/>
        <family val="2"/>
      </rPr>
      <t xml:space="preserve"> AW [kWh/a] =</t>
    </r>
  </si>
  <si>
    <r>
      <t>Q</t>
    </r>
    <r>
      <rPr>
        <vertAlign val="subscript"/>
        <sz val="10"/>
        <rFont val="Arial"/>
        <family val="2"/>
      </rPr>
      <t>s,op,M</t>
    </r>
    <r>
      <rPr>
        <sz val="10"/>
        <rFont val="Arial"/>
        <family val="2"/>
      </rPr>
      <t xml:space="preserve"> T [kWh/a] =</t>
    </r>
  </si>
  <si>
    <r>
      <t>Q</t>
    </r>
    <r>
      <rPr>
        <vertAlign val="subscript"/>
        <sz val="10"/>
        <rFont val="Arial"/>
        <family val="2"/>
      </rPr>
      <t>s,op,M</t>
    </r>
    <r>
      <rPr>
        <sz val="10"/>
        <rFont val="Arial"/>
        <family val="2"/>
      </rPr>
      <t xml:space="preserve"> D [kWh/a] =</t>
    </r>
  </si>
  <si>
    <r>
      <rPr>
        <sz val="10"/>
        <rFont val="Symbol"/>
        <family val="1"/>
        <charset val="2"/>
      </rPr>
      <t>D</t>
    </r>
    <r>
      <rPr>
        <sz val="10"/>
        <rFont val="Arial"/>
        <family val="2"/>
      </rPr>
      <t>Q</t>
    </r>
    <r>
      <rPr>
        <vertAlign val="subscript"/>
        <sz val="10"/>
        <rFont val="Arial"/>
        <family val="2"/>
      </rPr>
      <t>l,NA,M</t>
    </r>
    <r>
      <rPr>
        <sz val="10"/>
        <rFont val="Arial"/>
        <family val="2"/>
      </rPr>
      <t xml:space="preserve"> [kWh/a] =</t>
    </r>
  </si>
  <si>
    <r>
      <t>I</t>
    </r>
    <r>
      <rPr>
        <vertAlign val="subscript"/>
        <sz val="10"/>
        <rFont val="Arial"/>
        <family val="2"/>
      </rPr>
      <t>S</t>
    </r>
    <r>
      <rPr>
        <sz val="10"/>
        <rFont val="Arial"/>
        <family val="2"/>
      </rPr>
      <t xml:space="preserve"> [W/m²] =</t>
    </r>
  </si>
  <si>
    <r>
      <t xml:space="preserve"> </t>
    </r>
    <r>
      <rPr>
        <sz val="10"/>
        <rFont val="Symbol"/>
        <family val="1"/>
        <charset val="2"/>
      </rPr>
      <t>q</t>
    </r>
    <r>
      <rPr>
        <vertAlign val="subscript"/>
        <sz val="10"/>
        <rFont val="Arial"/>
        <family val="2"/>
      </rPr>
      <t>e</t>
    </r>
    <r>
      <rPr>
        <sz val="10"/>
        <rFont val="Arial"/>
        <family val="2"/>
      </rPr>
      <t xml:space="preserve"> [°C] =</t>
    </r>
  </si>
  <si>
    <r>
      <t xml:space="preserve"> t</t>
    </r>
    <r>
      <rPr>
        <vertAlign val="subscript"/>
        <sz val="10"/>
        <rFont val="Arial"/>
        <family val="2"/>
      </rPr>
      <t>M</t>
    </r>
    <r>
      <rPr>
        <sz val="10"/>
        <rFont val="Arial"/>
        <family val="2"/>
      </rPr>
      <t xml:space="preserve"> [d] =</t>
    </r>
  </si>
  <si>
    <r>
      <t>7 Auswahl Anlagentechnik und Primärenergieaufwandszahl gemäß DIN V 4701-10 e</t>
    </r>
    <r>
      <rPr>
        <b/>
        <vertAlign val="subscript"/>
        <sz val="11"/>
        <rFont val="Arial"/>
        <family val="2"/>
      </rPr>
      <t>P</t>
    </r>
    <r>
      <rPr>
        <b/>
        <sz val="11"/>
        <rFont val="Arial"/>
        <family val="2"/>
      </rPr>
      <t xml:space="preserve"> [-]</t>
    </r>
  </si>
  <si>
    <t>Bilder\bild.jpg</t>
  </si>
  <si>
    <t>Bilder\logo.jpg</t>
  </si>
  <si>
    <t>Bilder\signatur.png</t>
  </si>
  <si>
    <t>Gebaeudebez-Daten</t>
  </si>
  <si>
    <t>Solare Trinkwarmwasserbereitung</t>
  </si>
  <si>
    <t>Block, der alle Daten für die Ausstellung des Energieausweises entsprechend GEG enthält, die dem Datenschutz unterliegen oder freiwillig sind, und daher für das Kontrollsystem nicht relevant sind.</t>
  </si>
  <si>
    <t>.{1,40}</t>
  </si>
  <si>
    <t>vollständige Postleitzahl der Gebäudeadresse zur Angabe im Energieausweis.</t>
  </si>
  <si>
    <t>.{1,35}</t>
  </si>
  <si>
    <t>.{0,5}</t>
  </si>
  <si>
    <t>.{0,35}</t>
  </si>
  <si>
    <t>Hinweis, wo genauere Angaben zu den Empfehlungen ggfs. erhältlich sind. Pflichtangabe, Default-Wert ist (wenn Modernisierungsempfehlungen möglich sind) die GEG-Infoseite des BBSR bzw. (wenn keine Modernisierungsempfehlungen möglich sind, z.B. nach Modernisierung oder bei Neubau) "Angabe hier nicht relevant", weitere / alternative Hinweise sind dem Energieausweis-Aussteller überlassen.</t>
  </si>
  <si>
    <t>Block, der alle Daten für die Ausstellung des Energieausweises entsprechend GEG enthält, außer den dem Datenschutz unterliegenden und den freiwilligen Angaben. Nach Erhalt und Eintragung der Registriernummer muss dieser Block für die Kontrolle bereitgehalten werden.</t>
  </si>
  <si>
    <t>Teil des Wohngebäudes</t>
  </si>
  <si>
    <t>Teil des Nichtwohngebäudes</t>
  </si>
  <si>
    <t>.{1,64}</t>
  </si>
  <si>
    <t>.{1,117}</t>
  </si>
  <si>
    <t>wesentliche Energieträger Heizung</t>
  </si>
  <si>
    <t>wesentliche-Energietraeger-Heizung</t>
  </si>
  <si>
    <t>Wesentliche Energieträger für die Heizung.</t>
  </si>
  <si>
    <t>wesentliche Energieträger Warmwasser</t>
  </si>
  <si>
    <t>wesentliche-Energietraeger-Warmwasser</t>
  </si>
  <si>
    <t>.{1,94}</t>
  </si>
  <si>
    <t>.{0,63}</t>
  </si>
  <si>
    <t>.{0,74}</t>
  </si>
  <si>
    <t>Kuehlungsart-passive-Kuehlung</t>
  </si>
  <si>
    <t>Kühlungsart passive Kühlung</t>
  </si>
  <si>
    <t>Art der Kühlung des Gebäudes: Passive Kühlung.</t>
  </si>
  <si>
    <t>Treibhausgasemissionen</t>
  </si>
  <si>
    <t>#decimal#2#8#-100000#100000</t>
  </si>
  <si>
    <t>Bruttovolumen [m³]</t>
  </si>
  <si>
    <t>Gesetzesgrundlage</t>
  </si>
  <si>
    <t>Entsprechend der Angabe des Rechtsstand-Datums für entweder
          - den Bauantrag bei genehmigungspflichtigen Vorhaben (Ausstellungsanlässe Neubau und Modernisierung (über 140% Verbesserung der Endeenergie)) oder
          - die Bauanzeige bei anzeigepflichtigen Vorhaben (Ausstellungsanlässe Neubau und Modernisierung (bis 140% Verbesserung der Endenergie ) oder
          - den Baubeginn (Ausstellungsanlass Modernisierung) oder
          - die Fertigstellung (auf Wunsch des Bauherrn in allen vorgenannten Fällen)
          - die Ausweisausstellung (bei Verbrauchsausweisen und alle anderen Fälle).</t>
  </si>
  <si>
    <t>Bezeichnet die Gesetzesgrundlage (z.B. GEG-Version), nach der Nachweis geführt wurde.</t>
  </si>
  <si>
    <t>Einrichtung Aussteller-Account: https://www.dibt.de/de/wir-bieten/geg-registrierstelle</t>
  </si>
  <si>
    <t>Pflichtangabe der Treibhausgasemissionen in kg als CO2 Äquivalent/(m²a) für Bedarfsausweise, Verbrauchsausweise und Aushänge (gemäß GEG § 85 (2), (3) und (6) bzw. nach Berechnungsregeln gem. Anlage 9).</t>
  </si>
  <si>
    <t>Treibhausgasemissionen [kg/(m²a)]</t>
  </si>
  <si>
    <t>Ausstellungsdatum, Format YYYY-MM-DD</t>
  </si>
  <si>
    <t>Rechtsstand-Grund</t>
  </si>
  <si>
    <t>Bezeichnet die GEG-Version, nach der der Nachweis geführt wurde; es sollten nur die Jahreszahlen des Inkrafttretens der jeweiligen GEG-Version verwendet werden.</t>
  </si>
  <si>
    <t>Bauantrag bei genehmigungspflichtigen Vorhaben (Ausstellungsanlässe Neubau und Modernisierung)</t>
  </si>
  <si>
    <t>Bauanzeige bei anzeigepflichtigen Vorhaben (Ausstellungsanlässe Neubau und Modernisierung)</t>
  </si>
  <si>
    <t>Baubeginn (Ausstellungsanlass Modernisierung)</t>
  </si>
  <si>
    <t>Ausweisausstellung (bei Verbrauchsausweisen und alle anderen Fälle)</t>
  </si>
  <si>
    <t>1979...1983</t>
  </si>
  <si>
    <t>1984...1994</t>
  </si>
  <si>
    <t>2003...2009</t>
  </si>
  <si>
    <t>2010...2016</t>
  </si>
  <si>
    <t>ab 2017</t>
  </si>
  <si>
    <t>Kuehlungsart-Strom</t>
  </si>
  <si>
    <t>Kuehlungsart-Waerme</t>
  </si>
  <si>
    <t>Kuehlungsart-gelieferte-Kaelte</t>
  </si>
  <si>
    <t>Keine-inspektionspflichtige-Anlage</t>
  </si>
  <si>
    <t>Art der Kühlung des Gebäudes: Gelieferte Kälte.</t>
  </si>
  <si>
    <t>Art der Kühlung des Gebäudes: Kühlung aus Wärme.</t>
  </si>
  <si>
    <t>Art der Kühlung des Gebäudes: Kühlung aus Strom.</t>
  </si>
  <si>
    <t>Keine inspektionspflichtige Klimaanlage.</t>
  </si>
  <si>
    <t>Kühlungsart Strom</t>
  </si>
  <si>
    <t>Kühlungsart Wärme</t>
  </si>
  <si>
    <t>Kühlungsart gelieferte Kälte</t>
  </si>
  <si>
    <t>Keine inspektionspflichtige Anlage</t>
  </si>
  <si>
    <t>neu GEG2020</t>
  </si>
  <si>
    <t>Beheiztes Gebäudevolumen des Gebäudes/Gebäudeteils (ganze Kubikmeter) (Bruttovolumen: V_e).</t>
  </si>
  <si>
    <t>Ausstellungsdatum des Energieausweises, angegeben als YYYY-MM-DD.</t>
  </si>
  <si>
    <t>Wert des Wärmebrückenzuschlags für die Gebäudehülle (Wärmebrückenzuschlag: delta_U_WB).</t>
  </si>
  <si>
    <t>Transmissionswärmeverlust in kWh/a  (Transmissionswärmeverlust: Q_T).</t>
  </si>
  <si>
    <t>Lüftungswärmeverlust in kWh/a (Lüftungswärmeverlust: Q_V).</t>
  </si>
  <si>
    <t>Summe der solaren Gewinne in kWh/a (Solare Wärmegewinne: Q_S).</t>
  </si>
  <si>
    <t>Summe der inneren Gewinne in kWh/a (Interne Wärmegewinne: Q_I).</t>
  </si>
  <si>
    <t>Spezifischer auf die wärmeübertragende Umfassungsfläche bezogener Transmissionswärmeverlust HT', Ist-Wert des Gebäudes, in W/m²K (spezifischer Transmissionswaermeverlust: H_T(Strich)).</t>
  </si>
  <si>
    <t>Spezifischer auf die wärmeübertragende Umfassungsfläche bezogener Transmissionswärmeverlust HT', Anforderungswert, in W/m²K, nur bei Neubauten und wesentlichen Modernisierungen/Erweiterungen (spezifischer Transmissionswaermeverlust: H_T(Strich)).</t>
  </si>
  <si>
    <t>Endenergiekennwert Hilfsenergie in kWh/m²a bezogen auf die energetische Nutzfläche (Endenergiebedarf-Hilfsenergie-AN: q_HE,E).</t>
  </si>
  <si>
    <t>solare Wärmegewinne [kWh/a]</t>
  </si>
  <si>
    <t>interne Wärmegewinne [kWh/a]</t>
  </si>
  <si>
    <t>Pufferspeicher Nenninhalt [l]</t>
  </si>
  <si>
    <t>Heizkreisauslegungstemperatur</t>
  </si>
  <si>
    <t>Heizungsanlage innerhalb Hülle</t>
  </si>
  <si>
    <t>Trinkwarmwassererzeuger 1</t>
  </si>
  <si>
    <t>Trinkwarmwassererzeuger 2</t>
  </si>
  <si>
    <t>Trinkwarmwasserspeicher-Nenninhalt [l]</t>
  </si>
  <si>
    <t>Trinkwarmwasserverteilung Zirkulation</t>
  </si>
  <si>
    <t>spezifischer Transmissionswärmeverlust verschärft [W/(m²K)]</t>
  </si>
  <si>
    <t>Volumen eines oder mehrerer ggfs. vorhandenen Heizungs-Pufferspeicher(s) (keiner = 0) in Liter (Pufferspeicher-Nenninhalt: V).</t>
  </si>
  <si>
    <t>Volumen eines ggfs. vorhandenen Warmwasserspeichers (kein Speicher = 0), bzw. Summe der Volumina bei mehreren Speichern, in Liter (Trinkwarmwasserspeicher-Nenninhalt: V).</t>
  </si>
  <si>
    <t>Wurden Regeln zur vereinfachten Datenaufnahme nach § 50 (4) GEG bzw. Bekanntmachungen angewendet?</t>
  </si>
  <si>
    <t>Abzug ΔQP für gebäudenah erzeugten Strom aus erneuerbarer Erzeugung nach Maßgabe/ Bilazierungsregel (von Absatz 2 für WG bis 3-4 für NWG § 23 GEG vom Jahres-Primärenergiebedarf in kWh/a m2.</t>
  </si>
  <si>
    <t>Dieser Block enthält im Falle eines Bedarfsausweises die Hüllflächendaten. Die Summe aller Flächen muss der gesamten energetisch wirksamen Hüllfläche entsprechen.
Wand- und Dachflächen gegen Aussenluft sind daher netto ohne transparente Bauteile usw. anzugeben. Gleichartige Flächen gleichen U-Wertes und gleicher Orientierung können aufsummiert angegeben werden. Türen (ausser Fenstertüren), Rollladenkästen u.ä. sind als Wandstücke einzugeben.</t>
  </si>
  <si>
    <t>.{1,499}</t>
  </si>
  <si>
    <t>Innovationsklausel</t>
  </si>
  <si>
    <t>Angabe ob Innovationsklausel gemäß § 103 (1) GEG 2020 angewendet wurde. (Alternative Anforderungen: Treibhausgasemissionen, Höchstwert der Endenergiebedarfs + Transmissionswärmeverlust (nur für Neubau und WG) +  Wärmedurchgangskoeffizienten der wärmeübertragenden Umfassungsfläche (nur für Neubau und NWG) - Aussetzung der Hauptanforderungen (Neubau § 10, Bestand § 50))</t>
  </si>
  <si>
    <t>Quartiersregelung</t>
  </si>
  <si>
    <t>Angabe ob Quartiersregelung gemäß § 103 (3) - Gesamtbilanzierung für Wärmeversorgung zusammenhängender Gebäude - zutreffend ist.</t>
  </si>
  <si>
    <t>Primärenergie-Anforderungswert Neubau (Kennwert des Referenzgebäudes, ab 2016 mit Berücksichtigung des entspr. Faktors) in kWh/m²a bezogen auf die Nettogrundfläche, bei Neubau im Energieausweis einzutragen. (Primärenergiebedarf: Q_p,Ref).</t>
  </si>
  <si>
    <t>Primaerenergiebedarf-Hoechstwert-Neubau</t>
  </si>
  <si>
    <t>Endenergiebedarf-Hoechstwert-Neubau</t>
  </si>
  <si>
    <t>Treibhausgasemissionen-Hoechstwert-Neubau</t>
  </si>
  <si>
    <t>Endenergiebedarf-Anforderungswert Neubau (Kennwert des Referenzgebäudes, ab 2016 mit Berücksichtigung des entspr. Faktors) in kWh/m²a bezogen auf die energetische Nutzfläche.</t>
  </si>
  <si>
    <t>Anforderungswert für Treibhausgasemissionen Neubau (Kennwert des Referenzgebäudes) in kg/m²a bezogen auf die energetische Nutzfläche.</t>
  </si>
  <si>
    <t>#decimal#2#7#0#100000</t>
  </si>
  <si>
    <t>Endenergiekennwert Wärme in kWh/m²a bezogen auf die energetische Nutzfläche (Endenergiebedarf-Wärme: q_WE,E).</t>
  </si>
  <si>
    <t>#decimal#2#6#0#10000</t>
  </si>
  <si>
    <t>Endenergiebedarf Gesamt [kWh/(m²a)]</t>
  </si>
  <si>
    <t>Endenergiebedarf-Gesamt</t>
  </si>
  <si>
    <t>Endenergiekennwert Gesamt in kWh/m²a bezogen auf die energetische Nutzfläche.</t>
  </si>
  <si>
    <t>Primärenergieanbedarf [kWh/(m²a)]</t>
  </si>
  <si>
    <t>neu GEG2021</t>
  </si>
  <si>
    <t>Art-der-Nutzung-erneuerbaren-Energie-1</t>
  </si>
  <si>
    <t>Art der Nutzung erneuerbaren Energie 1</t>
  </si>
  <si>
    <t>Es wird die erste Angabe im Energieausweis zur Nutzung erneuerbarer Energien nach GEG Abschnit 4 § 34 erwartet, relevant nur bei Neubau.</t>
  </si>
  <si>
    <t>Deckungsanteil in % für erste Angabe zur Nutzung erneuerbarer Energien nach GEG Abschnitt 4 § 34 (Neubau), relevant nur bei Neubau.</t>
  </si>
  <si>
    <t>Anteil-der-Pflichterfuellung-1</t>
  </si>
  <si>
    <t>Anteil der Pflichterfuellung 1</t>
  </si>
  <si>
    <t>Anteil der Pflichterfuellung 2</t>
  </si>
  <si>
    <t>Anteil-der-Pflichterfuellung-2</t>
  </si>
  <si>
    <t>Art der Nutzung erneuerbaren Energie 2</t>
  </si>
  <si>
    <t>Art-der-Nutzung-erneuerbaren-Energie-2</t>
  </si>
  <si>
    <t>Pflichterfüllungsanteil in % für die erste Angabe zur Nutzung erneuerbarer Energien nach GEG. (§ 34: Die prozentualen Anteile der tatsächlichen Nutzung der einzelnen Maßnahmen im Verhältnis der jeweils nach den § 35 bis § 45 vorgesehenen Nutzung müssen in der Summe 100 Prozent Erfüllungsgrad ergeben.)</t>
  </si>
  <si>
    <t>Es wird die zweite Angabe im Energieausweis zur Nutzung erneuerbarer Energien nach GEG Abschnit 4 § 34 erwartet, relevant nur bei Neubau.</t>
  </si>
  <si>
    <t>Deckungsanteil in % für zweite Angabe Angabe zur Nutzung erneuerbarer Energien nach GEG Abschnitt 4 § 34 (Neubau), relevant nur bei Neubau.</t>
  </si>
  <si>
    <t>Pflichterfüllungsanteil in % für die zweite Angabe zur Nutzung erneuerbarer Energien nach GEG. (§ 34: Die prozentualen Anteile der tatsächlichen Nutzung der einzelnen Maßnahmen im Verhältnis der jeweils nach den § 35 bis § 45 vorgesehenen Nutzung müssen in der Summe 100 Prozent Erfüllungsgrad ergeben.)</t>
  </si>
  <si>
    <t>verschaerft-nach-GEG-45-eingehalten</t>
  </si>
  <si>
    <t>Der gemäß § 45 GEG um diese Prozentzahl verschärfte Anforderungswert (15 % Unterschreitung Transmissionswärmeverlust) als Maßnahme zur Einsparung von Energie ist eingehalten.</t>
  </si>
  <si>
    <t>verschärft nach GEG § 45 eingehalten</t>
  </si>
  <si>
    <t>nicht-verschaerft-nach-GEG-34</t>
  </si>
  <si>
    <t>nicht verschärft nach GEG § 34</t>
  </si>
  <si>
    <t>Keine Maßnahmen nach § 45 in Verbindung mit $ 34.</t>
  </si>
  <si>
    <t>Nach GEG § 45 verschärfter Anforderungswert für den spezifischen auf die wärmeübertragende Umfassungsfläche bezogenen Transmissionswärmeverlust HT' in W/m²K (spezifischer-Transmissionswärmeverlust-verschärft: H_T(Strich)).</t>
  </si>
  <si>
    <t>spezifischer-Transmissionswaermeverlust-verschaerft</t>
  </si>
  <si>
    <t>Luftdichtheit der Gebäudehülle. (Luftdichtheit nach DIN V 4701 - undicht : gemäß EnEV Anlage 3 Punkt 8.2 - normal  : alle übrigen Gebäude - geprüft : erfolgreich geprüft nach § 26 GEG)</t>
  </si>
  <si>
    <t>Emissionsfaktor [-]</t>
  </si>
  <si>
    <t>Emissionsfaktor für den jeweils eingesetzen Energieträger zur Umrechnung in Treibhausemissionen gemäß Anlage 9 des GEG.</t>
  </si>
  <si>
    <t>Rechtsstand-Grund-enum</t>
  </si>
  <si>
    <t>Bundesland-enum</t>
  </si>
  <si>
    <t>Gebaeudeteil-enum</t>
  </si>
  <si>
    <t>Altersklasse-enum</t>
  </si>
  <si>
    <t>Anlass-enum</t>
  </si>
  <si>
    <t>Gebaeudetyp-enum</t>
  </si>
  <si>
    <t>Wohngebaeude-Anbaugrad-enum</t>
  </si>
  <si>
    <t>Luftdichtheit-4701-enum</t>
  </si>
  <si>
    <t>Heizwaermeerzeuger-Typ-4701-enum</t>
  </si>
  <si>
    <t xml:space="preserve">      &lt;xs:enumeration value="Heizöl"/&gt;</t>
  </si>
  <si>
    <t xml:space="preserve">      &lt;xs:enumeration value="Erdgas"/&gt;</t>
  </si>
  <si>
    <t xml:space="preserve">      &lt;xs:enumeration value="Flüssiggas"/&gt;</t>
  </si>
  <si>
    <t xml:space="preserve">      &lt;xs:enumeration value="Steinkohle"/&gt;</t>
  </si>
  <si>
    <t xml:space="preserve">      &lt;xs:enumeration value="Braunkohle"/&gt;</t>
  </si>
  <si>
    <t xml:space="preserve">      &lt;xs:enumeration value="Biogas"/&gt;</t>
  </si>
  <si>
    <t xml:space="preserve">      &lt;xs:enumeration value="Biogas, gebäudenah erzeugt"/&gt;</t>
  </si>
  <si>
    <t xml:space="preserve">      &lt;xs:enumeration value="biogenes Flüssiggas"/&gt;</t>
  </si>
  <si>
    <t xml:space="preserve">      &lt;xs:enumeration value="Bioöl"/&gt;</t>
  </si>
  <si>
    <t xml:space="preserve">      &lt;xs:enumeration value="Bioöl, gebäudenah erzeugt"/&gt;</t>
  </si>
  <si>
    <t xml:space="preserve">      &lt;xs:enumeration value="Holz"/&gt;</t>
  </si>
  <si>
    <t xml:space="preserve">      &lt;xs:enumeration value="Strom netzbezogen"/&gt;</t>
  </si>
  <si>
    <t xml:space="preserve">      &lt;xs:enumeration value="Strom gebäudenah erzeugt (aus Photovoltaik, Windkraft)"/&gt;</t>
  </si>
  <si>
    <t xml:space="preserve">      &lt;xs:enumeration value="Verdrängungsstrommix für KWK"/&gt;</t>
  </si>
  <si>
    <t xml:space="preserve">      &lt;xs:enumeration value="Wärme (Erdwärme, Geothermie, Solarthermie, Umgebungswärme)"/&gt;</t>
  </si>
  <si>
    <t xml:space="preserve">      &lt;xs:enumeration value="Kälte (Erdkälte, Umgebungskälte)"/&gt;</t>
  </si>
  <si>
    <t xml:space="preserve">      &lt;xs:enumeration value="Abwärme aus Prozessen (prod)"/&gt;</t>
  </si>
  <si>
    <t xml:space="preserve">      &lt;xs:enumeration value="Abwärme aus Prozessen (out)"/&gt;</t>
  </si>
  <si>
    <t xml:space="preserve">      &lt;xs:enumeration value="Wärme aus KWK, gebäudeintegriert oder gebäudenah"/&gt;</t>
  </si>
  <si>
    <t xml:space="preserve">      &lt;xs:enumeration value="Wärme aus Verbrennung von Siedlungsabfällen"/&gt;</t>
  </si>
  <si>
    <t xml:space="preserve">      &lt;xs:enumeration value="Nah-/Fernwärme aus KWK, fossiler Brennstoff (Stein-/Braunkohle) bzw. Energieträger"/&gt;</t>
  </si>
  <si>
    <t xml:space="preserve">      &lt;xs:enumeration value="Nah-/Fernwärme aus KWK, fossiler Brennstoff (Gasförmige und flüssige Brennstoffe) bzw. Energieträger"/&gt;</t>
  </si>
  <si>
    <t xml:space="preserve">      &lt;xs:enumeration value="Nah-/Fernwärme aus KWK, erneuerbarer Brennstoff bzw. Energieträger"/&gt;</t>
  </si>
  <si>
    <t xml:space="preserve">      &lt;xs:enumeration value="Nah-/Fernwärme aus Heizwerken, fossiler Brennstoff (Stein-/Braunkohle) bzw. Energieträger"/&gt;</t>
  </si>
  <si>
    <t xml:space="preserve">      &lt;xs:enumeration value="Nah-/ Fernwärme aus Heizwerken, erneuerbarer Brennstoff bzw. Energieträger"/&gt;</t>
  </si>
  <si>
    <t>Energietraeger-enum</t>
  </si>
  <si>
    <t>Heizkreisauslegungstemperatur-enum</t>
  </si>
  <si>
    <t>Strom netzbezogen</t>
  </si>
  <si>
    <t>Trinkwarmwassererzeuger-Typ-4701-enum</t>
  </si>
  <si>
    <t>Solare-Waermegewinne</t>
  </si>
  <si>
    <t>Interne-Waermegewinne</t>
  </si>
  <si>
    <t>Pufferspeicher-Nenninhalt</t>
  </si>
  <si>
    <t>Heizungsanlage-innerhalb-Huelle</t>
  </si>
  <si>
    <t>Trinkwarmwassererzeuger-Bauweise1</t>
  </si>
  <si>
    <t>Trinkwarmwassererzeuger-Baujahr1</t>
  </si>
  <si>
    <t>Trinkwarmwassererzeuger-Bauweise2</t>
  </si>
  <si>
    <t>Trinkwarmwassererzeuger-Baujahr2</t>
  </si>
  <si>
    <t>Trinkwarmwasserspeicher-Nenninhalt</t>
  </si>
  <si>
    <t>Trinkwarmwasserverteilung-Zirkulation</t>
  </si>
  <si>
    <t>spezifischer-Transmissionswaermeverlust-Ist</t>
  </si>
  <si>
    <t>spezifischer-Transmissionswaermeverlust-Hoechstwert</t>
  </si>
  <si>
    <t>Endenergiebedarf-Waerme-AN</t>
  </si>
  <si>
    <t>Endenergiebedarf-Hilfsenergie-AN</t>
  </si>
  <si>
    <t>Trinkwarmwasseranlage</t>
  </si>
  <si>
    <t>Ausrichtung-enum</t>
  </si>
  <si>
    <t>Medium-enum</t>
  </si>
  <si>
    <t>Bruttovolumen</t>
  </si>
  <si>
    <t>Die durchschnittliche Geschosshöhe hG des Gebäudes (§ 25 GEG bzw. DIN V 18599-1: 2018-09) liegt im Anwendungsbereich zwischen 2,5 bis 3,0 m (Durchschnittliche Geschosshöhe: h_G).</t>
  </si>
  <si>
    <t>Endenergiebedarf Höchstwert 
     Neubau [kWh/(m²a)]</t>
  </si>
  <si>
    <t>Primärenergiebedarf Höchstwert 
     Neubau [kWh/(m²a)]</t>
  </si>
  <si>
    <t>spezifischer Transmissionswärmeverlust 
     Ist [W/(m²K)]</t>
  </si>
  <si>
    <t>spezifischer Transmissionswärmeverlust 
     Höchstwert [W/(m²K)]</t>
  </si>
  <si>
    <t>angerechneter lokaler erneuerbarer 
     Strom [kWh/a]</t>
  </si>
  <si>
    <t>Treibhausgasemissionen Höchstwert 
     Neubau [kg/(m²a)]</t>
  </si>
  <si>
    <r>
      <t>H</t>
    </r>
    <r>
      <rPr>
        <vertAlign val="subscript"/>
        <sz val="11"/>
        <color theme="1"/>
        <rFont val="Calibri"/>
        <family val="2"/>
        <scheme val="minor"/>
      </rPr>
      <t>T</t>
    </r>
    <r>
      <rPr>
        <sz val="11"/>
        <color theme="1"/>
        <rFont val="Calibri"/>
        <family val="2"/>
        <scheme val="minor"/>
      </rPr>
      <t>' Ist</t>
    </r>
  </si>
  <si>
    <r>
      <t>H</t>
    </r>
    <r>
      <rPr>
        <vertAlign val="subscript"/>
        <sz val="11"/>
        <color theme="1"/>
        <rFont val="Calibri"/>
        <family val="2"/>
        <scheme val="minor"/>
      </rPr>
      <t>T</t>
    </r>
    <r>
      <rPr>
        <sz val="11"/>
        <color theme="1"/>
        <rFont val="Calibri"/>
        <family val="2"/>
        <scheme val="minor"/>
      </rPr>
      <t>' max</t>
    </r>
  </si>
  <si>
    <r>
      <t>q</t>
    </r>
    <r>
      <rPr>
        <vertAlign val="subscript"/>
        <sz val="11"/>
        <color theme="1"/>
        <rFont val="Calibri"/>
        <family val="2"/>
        <scheme val="minor"/>
      </rPr>
      <t>WE,H</t>
    </r>
    <r>
      <rPr>
        <sz val="11"/>
        <color theme="1"/>
        <rFont val="Calibri"/>
        <family val="2"/>
        <scheme val="minor"/>
      </rPr>
      <t xml:space="preserve"> </t>
    </r>
  </si>
  <si>
    <r>
      <t>q</t>
    </r>
    <r>
      <rPr>
        <vertAlign val="subscript"/>
        <sz val="11"/>
        <color theme="1"/>
        <rFont val="Calibri"/>
        <family val="2"/>
        <scheme val="minor"/>
      </rPr>
      <t>HE,H</t>
    </r>
    <r>
      <rPr>
        <sz val="11"/>
        <color theme="1"/>
        <rFont val="Calibri"/>
        <family val="2"/>
        <scheme val="minor"/>
      </rPr>
      <t xml:space="preserve"> </t>
    </r>
  </si>
  <si>
    <r>
      <t>Endenergiebedarf Wärme A</t>
    </r>
    <r>
      <rPr>
        <vertAlign val="subscript"/>
        <sz val="10"/>
        <rFont val="Calibri"/>
        <family val="2"/>
        <scheme val="minor"/>
      </rPr>
      <t>N</t>
    </r>
    <r>
      <rPr>
        <sz val="10"/>
        <rFont val="Calibri"/>
        <family val="2"/>
        <scheme val="minor"/>
      </rPr>
      <t xml:space="preserve"> 
     [kWh/(m²a)]</t>
    </r>
  </si>
  <si>
    <r>
      <t>Endenergiebedarf Hilfsenergie A</t>
    </r>
    <r>
      <rPr>
        <vertAlign val="subscript"/>
        <sz val="10"/>
        <rFont val="Calibri"/>
        <family val="2"/>
        <scheme val="minor"/>
      </rPr>
      <t>N</t>
    </r>
    <r>
      <rPr>
        <sz val="10"/>
        <rFont val="Calibri"/>
        <family val="2"/>
        <scheme val="minor"/>
      </rPr>
      <t xml:space="preserve"> 
     [kWh/(m²a)]</t>
    </r>
  </si>
  <si>
    <t xml:space="preserve">      &lt;xs:enumeration value="solarthermische Anlagen"/&gt;</t>
  </si>
  <si>
    <t xml:space="preserve">      &lt;xs:enumeration value="Strom aus erneuerbaren Energien"/&gt;</t>
  </si>
  <si>
    <t xml:space="preserve">      &lt;xs:enumeration value="Geothermie oder Umweltwärem"/&gt;</t>
  </si>
  <si>
    <t xml:space="preserve">      &lt;xs:enumeration value="feste Biomasse"/&gt;</t>
  </si>
  <si>
    <t xml:space="preserve">      &lt;xs:enumeration value="flüssige Biomasse"/&gt;</t>
  </si>
  <si>
    <t xml:space="preserve">      &lt;xs:enumeration value="gasförmige Biomasse"/&gt;</t>
  </si>
  <si>
    <t xml:space="preserve">      &lt;xs:enumeration value="Kälte aus erneuerbaren Energien"/&gt;</t>
  </si>
  <si>
    <t xml:space="preserve">      &lt;xs:enumeration value="Abwärme"/&gt;</t>
  </si>
  <si>
    <t xml:space="preserve">      &lt;xs:enumeration value="Kraft-Wärme-Kopplung hocheff. KWK-Anlage"/&gt;</t>
  </si>
  <si>
    <t xml:space="preserve">      &lt;xs:enumeration value="Kraft-Wärme-Kopplung Brennstoffzellenh."/&gt;</t>
  </si>
  <si>
    <t xml:space="preserve">      &lt;xs:enumeration value="Fernwärme oder Fernkälte"/&gt;</t>
  </si>
  <si>
    <t xml:space="preserve">      &lt;xs:enumeration value="Maßnahmen zur Einsparung von Energie"/&gt;</t>
  </si>
  <si>
    <t>Art-der-Nutzung-erneuerbaren-Energie-enum</t>
  </si>
  <si>
    <t>minOccurs</t>
  </si>
  <si>
    <t>Baujahr dieses Trinkwarmwassererzeugers oder Jahr der massgeblichen letzten baulichen Veränderung des Trinkwarmwassererzeugers.</t>
  </si>
  <si>
    <t>Verwendeter Primärenergiefaktor (nicht erneuerbarer Anteil) des Energieträgers (Primärenergiefaktor: f_p) entsprechend Anlage 4 GEG.</t>
  </si>
  <si>
    <t>Energieausweis-Daten</t>
  </si>
  <si>
    <t>im Code</t>
  </si>
  <si>
    <t>Waermebruecken</t>
  </si>
  <si>
    <t>Ergebnisse</t>
  </si>
  <si>
    <t>Emissionsfaktor2</t>
  </si>
  <si>
    <t>Emissionsfaktor1</t>
  </si>
  <si>
    <t>Energieträger-Liste 1</t>
  </si>
  <si>
    <r>
      <t>x</t>
    </r>
    <r>
      <rPr>
        <vertAlign val="subscript"/>
        <sz val="11"/>
        <color theme="1"/>
        <rFont val="Calibri"/>
        <family val="2"/>
        <scheme val="minor"/>
      </rPr>
      <t>CO2</t>
    </r>
    <r>
      <rPr>
        <sz val="11"/>
        <color theme="1"/>
        <rFont val="Calibri"/>
        <family val="2"/>
        <scheme val="minor"/>
      </rPr>
      <t xml:space="preserve"> Ist</t>
    </r>
  </si>
  <si>
    <r>
      <t>q</t>
    </r>
    <r>
      <rPr>
        <vertAlign val="subscript"/>
        <sz val="11"/>
        <color theme="1"/>
        <rFont val="Calibri"/>
        <family val="2"/>
        <scheme val="minor"/>
      </rPr>
      <t>E</t>
    </r>
    <r>
      <rPr>
        <sz val="11"/>
        <color theme="1"/>
        <rFont val="Calibri"/>
        <family val="2"/>
        <scheme val="minor"/>
      </rPr>
      <t xml:space="preserve"> Ist</t>
    </r>
  </si>
  <si>
    <r>
      <t>q</t>
    </r>
    <r>
      <rPr>
        <vertAlign val="subscript"/>
        <sz val="11"/>
        <color theme="1"/>
        <rFont val="Calibri"/>
        <family val="2"/>
        <scheme val="minor"/>
      </rPr>
      <t>P</t>
    </r>
    <r>
      <rPr>
        <sz val="11"/>
        <color theme="1"/>
        <rFont val="Calibri"/>
        <family val="2"/>
        <scheme val="minor"/>
      </rPr>
      <t xml:space="preserve"> max</t>
    </r>
  </si>
  <si>
    <r>
      <t>q</t>
    </r>
    <r>
      <rPr>
        <vertAlign val="subscript"/>
        <sz val="11"/>
        <color theme="1"/>
        <rFont val="Calibri"/>
        <family val="2"/>
        <scheme val="minor"/>
      </rPr>
      <t>P</t>
    </r>
    <r>
      <rPr>
        <sz val="11"/>
        <color theme="1"/>
        <rFont val="Calibri"/>
        <family val="2"/>
        <scheme val="minor"/>
      </rPr>
      <t xml:space="preserve"> Ist</t>
    </r>
  </si>
  <si>
    <t>Energietraegerbezeichnung1</t>
  </si>
  <si>
    <t>#decimal#2#8#0#10</t>
  </si>
  <si>
    <t>Endenergiebedarf dieses Energieträgers für das gesamte Gebäude und alle Konditionierungsarten in kWh/m²a (Energieträger: Q_f).</t>
  </si>
  <si>
    <t>Endenergiebedarf Luftförderung der mechanischen Belüftung in kWh/m²a (Endenergiebedarf-Lüftung: W_v).</t>
  </si>
  <si>
    <t>Endenergiebedarf Beleuchtung in kWh/m²a (Endenergiebedarf-Beleuchtung: Q_l,f; W_l).</t>
  </si>
  <si>
    <t>Endenergiebedarf Trinkwasser-Erwärmung in kWh/m²a mit Hilfsenergie (Endenergiebedarf-Trinkwarmwasser: Q_w,f; W_w).</t>
  </si>
  <si>
    <t>Endenergiebedarf Kühlung (statisch und RLT) und Befeuchtung in kWh/m²a mit Hilfsenergie; 0 wenn nicht gekühlt (gilt sinngemäß auch für andere nicht vorhandene Konditionierungsarten des gesamten Gebäudes) (Endenergiebedarf-Kuehlung-Befeuchtung: Q_c,f + Q_c*,f + Q_m*,f; W_c + W_c* + W_m*).</t>
  </si>
  <si>
    <t>Endenergiebedarf Heizung (statisch und RLT) in kWh/m²a mit Hilfsenergie (Endenergiebedarf-Heizung: Q_h,f + Q_h*,f; W_h + W_h*).</t>
  </si>
  <si>
    <t>Dieser Block enthält die Angaben zu den spezifischen Endenergiebedarfswerten nach Energieträger, bezogen auf die Nettogrundfläche bei Nichtwohngebäuden, bzw. auf die Nettonutzfläche bei Wohngebäude, siehe Tabelle Endenergiebedarf im Energieausweis-Formular.</t>
  </si>
  <si>
    <t>Endenergiebedarf-Heizung-spezifisch1</t>
  </si>
  <si>
    <t>Endenergiebedarf-Kuehlung-Befeuchtung-spezifisch1</t>
  </si>
  <si>
    <t>Endenergiebedarf-Trinkwarmwasser-spezifisch1</t>
  </si>
  <si>
    <t>Endenergiebedarf-Beleuchtung-spezifisch1</t>
  </si>
  <si>
    <t>Endenergiebedarf-Lueftung-spezifisch1</t>
  </si>
  <si>
    <t>Endenergiebedarf-Energietraeger-Gesamtgebaeude-spezifisch1</t>
  </si>
  <si>
    <t>Energieträgerbezeichnung</t>
  </si>
  <si>
    <t>Endenergiebedarf Heizung spezifisch</t>
  </si>
  <si>
    <t>Endenergiebedarf Trinkwarmwasser spezifisch</t>
  </si>
  <si>
    <t>Endenergiebedarf Beleuchtung spezifisch</t>
  </si>
  <si>
    <t>Primärenergiefaktor</t>
  </si>
  <si>
    <t>Endenergiebedarf Energieträger Gesamtgebäude spezifisch</t>
  </si>
  <si>
    <t>Endenergiebedarf Kühlung Befeuchtung spezifisch</t>
  </si>
  <si>
    <t>Endenergiebedarf Lüftung spezifisch</t>
  </si>
  <si>
    <t>PrimaerenergiefaktorListe1</t>
  </si>
  <si>
    <t>1 wg. enum</t>
  </si>
  <si>
    <t>Keine-Modernisierung-Erweiterung-Vorhaben</t>
  </si>
  <si>
    <t>Der Austellungsanlass ist anders als "Modernisierung-Erweiterung", also: Neubau, Vermietung-Verkauf, Aushangspflicht oder sonstiges.</t>
  </si>
  <si>
    <t>Keine Modernisierung Erweiterung
     Vorhaben</t>
  </si>
  <si>
    <r>
      <rPr>
        <u/>
        <sz val="10"/>
        <color theme="1"/>
        <rFont val="Calibri"/>
        <family val="2"/>
        <scheme val="minor"/>
      </rPr>
      <t>Registrierung</t>
    </r>
    <r>
      <rPr>
        <sz val="10"/>
        <color theme="1"/>
        <rFont val="Calibri"/>
        <family val="2"/>
        <scheme val="minor"/>
      </rPr>
      <t xml:space="preserve"> (Bezug Registriernummer 
     über Gebühren-Kontingent): </t>
    </r>
  </si>
  <si>
    <t>Ergänzende Angabe bei Wohnteilen oder Nichtwohnteilen von gemischt genutzten Gebäuden gemäß §79 Abs. 2 GEG; bei Einzelgebäude Angabe "Ganzes Gebäude".</t>
  </si>
  <si>
    <t xml:space="preserve">      &lt;xs:enumeration value="Nah-/Fernwärme aus Heizwerken, fossiler Brennstoff (Gasförmige und flüssige Brennstoffe) bzw. Energieträger"/&gt;</t>
  </si>
  <si>
    <t>Primärenergieanbedarf Höchstwert
     Bestand [kWh/(m²a)]</t>
  </si>
  <si>
    <t>Energieträger-Liste 2</t>
  </si>
  <si>
    <t>für Ausweis</t>
  </si>
  <si>
    <t>fest: nein</t>
  </si>
  <si>
    <t>Primärenergie-Anforderungswert Modernisierter Altbau in kWh/m²a bezogen auf die Nettogrundfläche. Außerdem richtet sich die Länge der grün-rot-Skala nach diesem Wert (Skalenendewert das Dreifache des Wertes), daher ist der Wert immer erforderlich. (Primärenergiebedarf: Q_p,Ref)</t>
  </si>
  <si>
    <t>fest: ja</t>
  </si>
  <si>
    <t>2.1.13 Berechnung spezifischer Transmissionwärmeverlust</t>
  </si>
  <si>
    <t>neu GEG2020, nicht relevant</t>
  </si>
  <si>
    <t>WP Luft 35/28°C monov.</t>
  </si>
  <si>
    <t>solarthermische Anlagen</t>
  </si>
  <si>
    <t>Eingabe heute: Tasten Strg + . (Punkt)</t>
  </si>
  <si>
    <t>port</t>
  </si>
  <si>
    <t>fest</t>
  </si>
  <si>
    <t>gelb</t>
  </si>
  <si>
    <t>orange</t>
  </si>
  <si>
    <r>
      <t>für ImExport</t>
    </r>
    <r>
      <rPr>
        <u/>
        <sz val="11"/>
        <color theme="9"/>
        <rFont val="Calibri"/>
        <family val="2"/>
        <scheme val="minor"/>
      </rPr>
      <t>, die festen könnten gelöscht werden</t>
    </r>
  </si>
  <si>
    <t>21.05.2021</t>
  </si>
  <si>
    <t>Anlage 9 - Referenz GEG2020 - BW-Kessel, Abluftanlage, kleine Solaranlage (bis 500 m²)</t>
  </si>
  <si>
    <t>Anlage 10 - Referenz GEG2020 - BW-Kessel, Abluftanlage, große Solaranlage (mehr als 500 m²)</t>
  </si>
  <si>
    <t>GEG20 (groß, beheizt)</t>
  </si>
  <si>
    <t>GEG20 (groß, unbeheizt)</t>
  </si>
  <si>
    <t>GEG2020 BW + Solar + AbluftA (&lt;=500 m²)</t>
  </si>
  <si>
    <t>GEG2020 BW + Solar + AbluftA (&gt;500 m²)</t>
  </si>
  <si>
    <t>Anlage 9 - Referenz GEG2020 - BW-Kessel, Abluftanlage, kleine Solaranlage (unter 500 m², bis 2 WE)</t>
  </si>
  <si>
    <t>Anlage 10 - Referenz GEG2020 - BW-Kessel, Abluftanlage, große Solaranlage (unter 500 m², über 2 WE)</t>
  </si>
  <si>
    <t>Anlage 11 - Referenz GEG2020 - BW-Kessel, Abluftanlage, kleine Solaranlage ab 500 m², bis 2 WE)</t>
  </si>
  <si>
    <t>Anlage 12 - Referenz GEG2020 - BW-Kessel, Abluftanlage, große Solaranlage (ab 500 m², über 2 WE)</t>
  </si>
  <si>
    <t>C:\Arbeitsordner\IBH\IBH_Projekt1544_MoBi\DruckApp</t>
  </si>
  <si>
    <t>kirstenhoettges@gmail.com</t>
  </si>
  <si>
    <t>AmEsad5*</t>
  </si>
  <si>
    <t>Zerti.pdf</t>
  </si>
  <si>
    <t>1.1.2  Gipsputzmörtel</t>
  </si>
  <si>
    <t>1.3.3  Calciumsulfat-Estrich (Anhydrit-Estrich)</t>
  </si>
  <si>
    <t>1.2.4  Leichtmauermörtel nach DIN EN 1996-1-1, DIN EN 1996-2</t>
  </si>
  <si>
    <t>1.2.5  Leichtmauermörtel nach DIN EN 1996-1-1, DIN EN 1996-2</t>
  </si>
  <si>
    <t>1.1.7  Kunstharzputz</t>
  </si>
  <si>
    <t>Leichtbeton und Stahlleichtbeton mit geschl. Gefüg. nach DIN EN 206 und DIN 1045-2</t>
  </si>
  <si>
    <t xml:space="preserve">Dampfgehärteter  Porenbeton  nach DIN EN 12602 </t>
  </si>
  <si>
    <t>3.2 Wandbauplatten aus Leichtbeton</t>
  </si>
  <si>
    <t xml:space="preserve">Wandbauplatten aus Leichtbeton nach DIN 18162 </t>
  </si>
  <si>
    <t>3.3 Gips-Wandbauplatten</t>
  </si>
  <si>
    <t>Gips-Wandbauplatten nach DIN EN 12859</t>
  </si>
  <si>
    <t>3.4 Gipsplatten</t>
  </si>
  <si>
    <t xml:space="preserve">Hochlochziegel HLzA und HLzB </t>
  </si>
  <si>
    <t>4.1.4  Hochlochziegel HLzW</t>
  </si>
  <si>
    <t>4.1.4  Hochlochziegel HLzW LM21/LM36</t>
  </si>
  <si>
    <t>4.1.3  Hochlochziegel HLzA und HLzB - LB21/LM36</t>
  </si>
  <si>
    <t>4.1.3  Hochlochziegel HLzA und HLzB - NM/DM</t>
  </si>
  <si>
    <t>4.1.4  Hochlochziegel HLzW - NM</t>
  </si>
  <si>
    <t xml:space="preserve">Mauerwerk aus Kalksandsteinen nach DIN V 106 bzw. DIN EN 771-2 in Verbindung mit DIN 20000-402 </t>
  </si>
  <si>
    <t>4.3  Porenbeton-Plansteine</t>
  </si>
  <si>
    <t xml:space="preserve">Mauerwerk aus Porenbeton-Plansteinen (PP) nach DIN EN 771-4 in Verbindung mit DIN 20000-404 </t>
  </si>
  <si>
    <t>Mauerwerk aus Betonsteinen, Hohlblöcke (Hbl) nach DIN V 18151-100, Gruppe 1 e</t>
  </si>
  <si>
    <t>4.4.1  Hohlblöcke (Hbl), Gruppe 1 - LM21/DM</t>
  </si>
  <si>
    <t>4.4.1  Hohlblöcke (Hbl), Gruppe 1 - NM</t>
  </si>
  <si>
    <t>4.4.1  Hohlblöcke (Hbl), Gruppe 1 - LM36</t>
  </si>
  <si>
    <t>4.4.2  Betonsteine Hbl G2</t>
  </si>
  <si>
    <t>4.4  Betonsteine Hbl G1</t>
  </si>
  <si>
    <t>4.4.2  Hohlblöcke (Hbl), Gruppe 2 - LM21/DM</t>
  </si>
  <si>
    <t>4.4.2  Hohlblöcke (Hbl), Gruppe 2 - LM36</t>
  </si>
  <si>
    <t>4.4.2  Hohlblöcke (Hbl), Gruppe 2 - NM</t>
  </si>
  <si>
    <t>4.4.3  Betonsteine Vbl</t>
  </si>
  <si>
    <t>4.4.3  Vollblöcke (Vbl, S-W) - LM21/DM</t>
  </si>
  <si>
    <t>4.4.3  Vollblöcke (Vbl, S-W) - LM36</t>
  </si>
  <si>
    <t>4.4.3  Vollblöcke (Vbl, S-W) - NM</t>
  </si>
  <si>
    <t>4.4.4  Vollblöcke (Vbl) aus Leichtbeton - LM21/DM</t>
  </si>
  <si>
    <t>4.4.4  Vollblöcke (Vbl) aus Leichtbeton - LM36</t>
  </si>
  <si>
    <t>4.4.4  Betonsteine Vbl aus Leichtbeton</t>
  </si>
  <si>
    <t>4.4.4  Vollblöcke (Vbl) aus Leichtbeton - NM</t>
  </si>
  <si>
    <t>4.4.5  Betonsteine V</t>
  </si>
  <si>
    <t>4.4.5  Vollsteine (V) - LM21/DM</t>
  </si>
  <si>
    <t>4.4.5  Vollsteine (V) - LM36</t>
  </si>
  <si>
    <t>4.4.5  Vollsteine (V) - NM</t>
  </si>
  <si>
    <t>4.4.6  Mauersteine aus Beton</t>
  </si>
  <si>
    <t>siehe Tabellen 2</t>
  </si>
  <si>
    <t>5.4 Polyurethan-Hartschaum (PU)</t>
  </si>
  <si>
    <t>5.7 Holzwolle-Platten</t>
  </si>
  <si>
    <t>3/5</t>
  </si>
  <si>
    <t>1.1.4  Leichtputz</t>
  </si>
  <si>
    <t>1.1.5  Leichtputz</t>
  </si>
  <si>
    <t>2.1 Beton nach DIN EN 206</t>
  </si>
  <si>
    <t>4.1.1 Vollklinker, Hochlochklinker, Keramikklinker - NM/DM</t>
  </si>
  <si>
    <t xml:space="preserve">Mauerwerk aus Mauerziegeln nach E DIN 105-100, DIN 105-5 und DIN 105-6 bzw. Mauerziegel nach DIN EN 771-1 in Verbindung mit DIN 20000-401 </t>
  </si>
  <si>
    <t>4.1.2 Vollziegel, Hochlochziegel, Füllziegel - NM/DM</t>
  </si>
  <si>
    <t>e,f</t>
  </si>
  <si>
    <t>1.1.7  Kunstharzputz [0,7]</t>
  </si>
  <si>
    <t>brauchen wir diese Spalten noch (S:V)? (04.06.2021), JA</t>
  </si>
  <si>
    <t>(HLzA und HLzB )</t>
  </si>
  <si>
    <t>(nach DIN EN 1996-1-1, DIN EN 1996-2)</t>
  </si>
  <si>
    <t>Be-messungs-wärmeleit-fähigkeit</t>
  </si>
  <si>
    <t>Richtwert der Wasser-dampf-Diffusions-wider-standszahl</t>
  </si>
  <si>
    <t>Berechnung Referenz-Ausführung</t>
  </si>
  <si>
    <t>Wohngebäude - GEG 2023 - zu errichtendes Gebäude</t>
  </si>
  <si>
    <t>Anforderungen gemäß GEG 2023:</t>
  </si>
  <si>
    <r>
      <t>q</t>
    </r>
    <r>
      <rPr>
        <vertAlign val="subscript"/>
        <sz val="10"/>
        <rFont val="Arial"/>
        <family val="2"/>
      </rPr>
      <t>P,max</t>
    </r>
    <r>
      <rPr>
        <sz val="10"/>
        <rFont val="Arial"/>
        <family val="2"/>
      </rPr>
      <t xml:space="preserve"> = Q</t>
    </r>
    <r>
      <rPr>
        <vertAlign val="subscript"/>
        <sz val="10"/>
        <rFont val="Arial"/>
        <family val="2"/>
      </rPr>
      <t>P,max</t>
    </r>
    <r>
      <rPr>
        <sz val="10"/>
        <rFont val="Arial"/>
        <family val="2"/>
      </rPr>
      <t>'' = 0,55 * q</t>
    </r>
    <r>
      <rPr>
        <vertAlign val="subscript"/>
        <sz val="10"/>
        <rFont val="Arial"/>
        <family val="2"/>
      </rPr>
      <t>P,Ref</t>
    </r>
    <r>
      <rPr>
        <sz val="10"/>
        <rFont val="Arial"/>
        <family val="2"/>
      </rPr>
      <t xml:space="preserve"> [kWh/(m²a)] =</t>
    </r>
  </si>
  <si>
    <r>
      <t xml:space="preserve">enspricht </t>
    </r>
    <r>
      <rPr>
        <b/>
        <sz val="10"/>
        <color theme="1"/>
        <rFont val="Arial"/>
        <family val="2"/>
      </rPr>
      <t>KfW-Effizienzhaus-Stufe</t>
    </r>
    <r>
      <rPr>
        <sz val="10"/>
        <color theme="1"/>
        <rFont val="Arial"/>
        <family val="2"/>
      </rPr>
      <t xml:space="preserve"> (BEG-Förderung)</t>
    </r>
  </si>
  <si>
    <t xml:space="preserve">DIN V 18599-10 : 2018-09 - Tabellen E.3 bis E.18 - Meteorologische Daten für 15 Klimaregionen in Deutschland </t>
  </si>
  <si>
    <t>Tabelle E.3 - Mittlere monatliche Strahlungsintensitäten und Außenlufttemperaturen für den Referenzort Bremerhaven.</t>
  </si>
  <si>
    <t>Region 1 - Bremerhaven</t>
  </si>
  <si>
    <r>
      <t>Mittlere monatliche Strahlungsintensität I</t>
    </r>
    <r>
      <rPr>
        <b/>
        <vertAlign val="subscript"/>
        <sz val="10"/>
        <rFont val="Arial"/>
        <family val="2"/>
      </rPr>
      <t>S</t>
    </r>
    <r>
      <rPr>
        <b/>
        <sz val="10"/>
        <rFont val="Arial"/>
        <family val="2"/>
      </rPr>
      <t xml:space="preserve"> [W/m²]</t>
    </r>
  </si>
  <si>
    <t>Jahreswert [kWh/(m²a)]</t>
  </si>
  <si>
    <t>Jan bis Dez</t>
  </si>
  <si>
    <t>horizontal</t>
  </si>
  <si>
    <t>Süd-Ost</t>
  </si>
  <si>
    <t>Süd-West</t>
  </si>
  <si>
    <t>Nord-West</t>
  </si>
  <si>
    <t>Nord-Ost</t>
  </si>
  <si>
    <r>
      <t xml:space="preserve">Außenlufttemperatur </t>
    </r>
    <r>
      <rPr>
        <b/>
        <sz val="10"/>
        <rFont val="Symbol"/>
        <family val="1"/>
        <charset val="2"/>
      </rPr>
      <t>J</t>
    </r>
    <r>
      <rPr>
        <b/>
        <vertAlign val="subscript"/>
        <sz val="10"/>
        <rFont val="Arial"/>
        <family val="2"/>
      </rPr>
      <t>e</t>
    </r>
    <r>
      <rPr>
        <b/>
        <sz val="10"/>
        <rFont val="Arial"/>
        <family val="2"/>
      </rPr>
      <t xml:space="preserve"> [°C]</t>
    </r>
  </si>
  <si>
    <t>Jahreswert [°C]</t>
  </si>
  <si>
    <t>Tabelle E.4 - Mittlere monatliche Strahlungsintensitäten und Außenlufttemperaturen für den Referenzort Rostock.</t>
  </si>
  <si>
    <t>Region 2 - Rostock</t>
  </si>
  <si>
    <t>Tabelle E.5 - Mittlere monatliche Strahlungsintensitäten und Außenlufttemperaturen für den Referenzort Hamburg.</t>
  </si>
  <si>
    <t>Region 3 - Hamburg</t>
  </si>
  <si>
    <t>Tabelle E.6 - Mittlere monatliche Strahlungsintensitäten und Außenlufttemperaturen für den Referenzort Potsdam.</t>
  </si>
  <si>
    <t>Region 4 - Potsdam</t>
  </si>
  <si>
    <t>Tabelle E.7 - Mittlere monatliche Strahlungsintensitäten und Außenlufttemperaturen für den Referenzort Essen.</t>
  </si>
  <si>
    <t>Region 5 - Essen</t>
  </si>
  <si>
    <t>Tabelle E.8 - Mittlere monatliche Strahlungsintensitäten und Außenlufttemperaturen für den Referenzort Bad Marienberg.</t>
  </si>
  <si>
    <t>Region 6 - Bad Marienberg</t>
  </si>
  <si>
    <t>Tabelle E.9 - Mittlere monatliche Strahlungsintensitäten und Außenlufttemperaturen für den Referenzort Kassel.</t>
  </si>
  <si>
    <t>Region 7 - Kassel</t>
  </si>
  <si>
    <t>Tabelle E.10 - Mittlere monatliche Strahlungsintensitäten und Außenlufttemperaturen für den Referenzort Braunlage.</t>
  </si>
  <si>
    <t>Region 8 - Braunlage</t>
  </si>
  <si>
    <t>Tabelle E.11 - Mittlere monatliche Strahlungsintensitäten und Außenlufttemperaturen für den Referenzort Chemnitz.</t>
  </si>
  <si>
    <t>Region 9 - Chemnitz</t>
  </si>
  <si>
    <t>Tabelle E.12 - Mittlere monatliche Strahlungsintensitäten und Außenlufttemperaturen für den Referenzort Hof.</t>
  </si>
  <si>
    <t>Region 10 - Hof</t>
  </si>
  <si>
    <t>Tabelle E.13 - Mittlere monatliche Strahlungsintensitäten und Außenlufttemperaturen für den Referenzort Fichtelberg.</t>
  </si>
  <si>
    <t>Region 11 - Fichtelberg</t>
  </si>
  <si>
    <t>Tabelle E.14 - Mittlere monatliche Strahlungsintensitäten und Außenlufttemperaturen für den Referenzort Mannheim.</t>
  </si>
  <si>
    <t>Region 12 - Mannheim</t>
  </si>
  <si>
    <t>Tabelle E.15 - Mittlere monatliche Strahlungsintensitäten und Außenlufttemperaturen für den Referenzort Passau.</t>
  </si>
  <si>
    <t>Region 13 - Passau</t>
  </si>
  <si>
    <t>Tabelle E.16 - Mittlere monatliche Strahlungsintensitäten und Außenlufttemperaturen für den Referenzort Stötten.</t>
  </si>
  <si>
    <t>Region 14 - Stötten</t>
  </si>
  <si>
    <t>Tabelle E.17 - Mittlere monatliche Strahlungsintensitäten und Außenlufttemperaturen für den Referenzort Garmisch-Partenkirchen.</t>
  </si>
  <si>
    <t>Region 15 - Garmisch-Partenkirchen</t>
  </si>
  <si>
    <t>Region</t>
  </si>
  <si>
    <t>Referenzort</t>
  </si>
  <si>
    <t>0 - Referenzklima (Potsdam)</t>
  </si>
  <si>
    <t>Bremerhaven</t>
  </si>
  <si>
    <t>Rostock</t>
  </si>
  <si>
    <t>Potsdam</t>
  </si>
  <si>
    <t>Essen</t>
  </si>
  <si>
    <t>Bad Marienberg</t>
  </si>
  <si>
    <t>Kassel</t>
  </si>
  <si>
    <t>Braunlage</t>
  </si>
  <si>
    <t>Chemnitz</t>
  </si>
  <si>
    <t>Hof</t>
  </si>
  <si>
    <t>Fichtelberg</t>
  </si>
  <si>
    <t>Mannheim</t>
  </si>
  <si>
    <t>Passau</t>
  </si>
  <si>
    <t>Stötten</t>
  </si>
  <si>
    <t>Garmisch-Partenkirchen</t>
  </si>
  <si>
    <r>
      <t xml:space="preserve">DIN V </t>
    </r>
    <r>
      <rPr>
        <b/>
        <sz val="9"/>
        <color theme="1"/>
        <rFont val="Arial"/>
        <family val="2"/>
      </rPr>
      <t>18599-10</t>
    </r>
    <r>
      <rPr>
        <sz val="9"/>
        <color theme="1"/>
        <rFont val="Arial"/>
        <family val="2"/>
      </rPr>
      <t xml:space="preserve"> : 2018-09</t>
    </r>
  </si>
  <si>
    <t>gem. GEG 2023</t>
  </si>
  <si>
    <t>Energieeffizienzklasse gem. Anlage 10 des GEG 2023</t>
  </si>
  <si>
    <t>lambda_eq</t>
  </si>
  <si>
    <r>
      <t>oberer Grenzwert R</t>
    </r>
    <r>
      <rPr>
        <b/>
        <vertAlign val="subscript"/>
        <sz val="9"/>
        <color theme="3"/>
        <rFont val="Arial"/>
        <family val="2"/>
      </rPr>
      <t>tot;upper</t>
    </r>
  </si>
  <si>
    <r>
      <t>unterer Grenzwert R</t>
    </r>
    <r>
      <rPr>
        <b/>
        <vertAlign val="subscript"/>
        <sz val="9"/>
        <color theme="3"/>
        <rFont val="Arial"/>
        <family val="2"/>
      </rPr>
      <t>tot;lower</t>
    </r>
  </si>
  <si>
    <t>Teilfläche</t>
  </si>
  <si>
    <r>
      <t xml:space="preserve">Summe = </t>
    </r>
    <r>
      <rPr>
        <b/>
        <sz val="9"/>
        <color theme="3"/>
        <rFont val="Symbol"/>
        <family val="1"/>
        <charset val="2"/>
      </rPr>
      <t>S</t>
    </r>
    <r>
      <rPr>
        <b/>
        <sz val="9"/>
        <color theme="3"/>
        <rFont val="Arial"/>
        <family val="2"/>
      </rPr>
      <t xml:space="preserve"> R</t>
    </r>
    <r>
      <rPr>
        <b/>
        <vertAlign val="subscript"/>
        <sz val="9"/>
        <color theme="3"/>
        <rFont val="Arial"/>
        <family val="2"/>
      </rPr>
      <t>j</t>
    </r>
  </si>
  <si>
    <r>
      <t>R</t>
    </r>
    <r>
      <rPr>
        <vertAlign val="subscript"/>
        <sz val="9"/>
        <color theme="3"/>
        <rFont val="Arial"/>
        <family val="2"/>
      </rPr>
      <t>j</t>
    </r>
  </si>
  <si>
    <t>G1</t>
  </si>
  <si>
    <t>H1</t>
  </si>
  <si>
    <t>G2</t>
  </si>
  <si>
    <t>H2</t>
  </si>
  <si>
    <t>Gefach</t>
  </si>
  <si>
    <t>[Gx,Hx]</t>
  </si>
  <si>
    <t>Gefach/Holz und Breite</t>
  </si>
  <si>
    <r>
      <rPr>
        <b/>
        <sz val="9"/>
        <color theme="3"/>
        <rFont val="Arial"/>
        <family val="2"/>
      </rPr>
      <t>R</t>
    </r>
    <r>
      <rPr>
        <b/>
        <vertAlign val="subscript"/>
        <sz val="9"/>
        <color theme="3"/>
        <rFont val="Arial"/>
        <family val="2"/>
      </rPr>
      <t>tot;upper</t>
    </r>
  </si>
  <si>
    <r>
      <t>Summe = R</t>
    </r>
    <r>
      <rPr>
        <vertAlign val="subscript"/>
        <sz val="9"/>
        <color theme="3"/>
        <rFont val="Arial"/>
        <family val="2"/>
      </rPr>
      <t>i</t>
    </r>
  </si>
  <si>
    <r>
      <rPr>
        <sz val="9"/>
        <color theme="3"/>
        <rFont val="Symbol"/>
        <family val="1"/>
        <charset val="2"/>
      </rPr>
      <t>S</t>
    </r>
    <r>
      <rPr>
        <sz val="9"/>
        <color theme="3"/>
        <rFont val="Arial"/>
        <family val="2"/>
      </rPr>
      <t xml:space="preserve"> f</t>
    </r>
    <r>
      <rPr>
        <vertAlign val="subscript"/>
        <sz val="9"/>
        <color theme="3"/>
        <rFont val="Arial"/>
        <family val="2"/>
      </rPr>
      <t>i</t>
    </r>
    <r>
      <rPr>
        <sz val="9"/>
        <color theme="3"/>
        <rFont val="Arial"/>
        <family val="2"/>
      </rPr>
      <t xml:space="preserve"> / R</t>
    </r>
    <r>
      <rPr>
        <vertAlign val="subscript"/>
        <sz val="9"/>
        <color theme="3"/>
        <rFont val="Arial"/>
        <family val="2"/>
      </rPr>
      <t>i</t>
    </r>
  </si>
  <si>
    <r>
      <t>R_</t>
    </r>
    <r>
      <rPr>
        <vertAlign val="subscript"/>
        <sz val="9"/>
        <rFont val="Arial"/>
        <family val="2"/>
      </rPr>
      <t>tot;upper</t>
    </r>
    <r>
      <rPr>
        <sz val="9"/>
        <rFont val="Arial"/>
        <family val="2"/>
      </rPr>
      <t xml:space="preserve"> = 1 / ∑ (f_</t>
    </r>
    <r>
      <rPr>
        <vertAlign val="subscript"/>
        <sz val="9"/>
        <rFont val="Arial"/>
        <family val="2"/>
      </rPr>
      <t xml:space="preserve">i </t>
    </r>
    <r>
      <rPr>
        <sz val="9"/>
        <rFont val="Arial"/>
        <family val="2"/>
      </rPr>
      <t>/ R_</t>
    </r>
    <r>
      <rPr>
        <vertAlign val="subscript"/>
        <sz val="9"/>
        <rFont val="Arial"/>
        <family val="2"/>
      </rPr>
      <t>i</t>
    </r>
    <r>
      <rPr>
        <sz val="9"/>
        <rFont val="Arial"/>
        <family val="2"/>
      </rPr>
      <t>) =</t>
    </r>
  </si>
  <si>
    <r>
      <t>R</t>
    </r>
    <r>
      <rPr>
        <vertAlign val="subscript"/>
        <sz val="9"/>
        <rFont val="Arial"/>
        <family val="2"/>
      </rPr>
      <t>_tot;lower</t>
    </r>
    <r>
      <rPr>
        <sz val="9"/>
        <rFont val="Arial"/>
        <family val="2"/>
      </rPr>
      <t xml:space="preserve"> = R</t>
    </r>
    <r>
      <rPr>
        <vertAlign val="subscript"/>
        <sz val="9"/>
        <rFont val="Arial"/>
        <family val="2"/>
      </rPr>
      <t>si</t>
    </r>
    <r>
      <rPr>
        <sz val="9"/>
        <rFont val="Arial"/>
        <family val="2"/>
      </rPr>
      <t xml:space="preserve"> + ∑</t>
    </r>
    <r>
      <rPr>
        <vertAlign val="subscript"/>
        <sz val="9"/>
        <rFont val="Arial"/>
        <family val="2"/>
      </rPr>
      <t xml:space="preserve"> </t>
    </r>
    <r>
      <rPr>
        <sz val="9"/>
        <rFont val="Arial"/>
        <family val="2"/>
      </rPr>
      <t>(f_</t>
    </r>
    <r>
      <rPr>
        <vertAlign val="subscript"/>
        <sz val="9"/>
        <rFont val="Arial"/>
        <family val="2"/>
      </rPr>
      <t xml:space="preserve">j </t>
    </r>
    <r>
      <rPr>
        <sz val="9"/>
        <rFont val="Arial"/>
        <family val="2"/>
      </rPr>
      <t>/ R</t>
    </r>
    <r>
      <rPr>
        <vertAlign val="subscript"/>
        <sz val="9"/>
        <rFont val="Arial"/>
        <family val="2"/>
      </rPr>
      <t>_j</t>
    </r>
    <r>
      <rPr>
        <sz val="9"/>
        <rFont val="Arial"/>
        <family val="2"/>
      </rPr>
      <t>) + R</t>
    </r>
    <r>
      <rPr>
        <vertAlign val="subscript"/>
        <sz val="9"/>
        <rFont val="Arial"/>
        <family val="2"/>
      </rPr>
      <t>se</t>
    </r>
    <r>
      <rPr>
        <sz val="9"/>
        <rFont val="Arial"/>
        <family val="2"/>
      </rPr>
      <t xml:space="preserve"> =</t>
    </r>
  </si>
  <si>
    <r>
      <t>U = 2 / (R</t>
    </r>
    <r>
      <rPr>
        <vertAlign val="subscript"/>
        <sz val="9"/>
        <rFont val="Arial"/>
        <family val="2"/>
      </rPr>
      <t>_tot;upper</t>
    </r>
    <r>
      <rPr>
        <sz val="9"/>
        <rFont val="Arial"/>
        <family val="2"/>
      </rPr>
      <t xml:space="preserve"> + R</t>
    </r>
    <r>
      <rPr>
        <vertAlign val="subscript"/>
        <sz val="9"/>
        <rFont val="Arial"/>
        <family val="2"/>
      </rPr>
      <t>_tot;lower</t>
    </r>
    <r>
      <rPr>
        <sz val="9"/>
        <rFont val="Arial"/>
        <family val="2"/>
      </rPr>
      <t>) =</t>
    </r>
  </si>
  <si>
    <t>G1,H1,G2,H2</t>
  </si>
  <si>
    <t>DIN EN ISO 6946 : 2018-03 Abschnitt 6.7.2.1 Anwendbarkeit:</t>
  </si>
  <si>
    <r>
      <t xml:space="preserve">DIN </t>
    </r>
    <r>
      <rPr>
        <b/>
        <sz val="9"/>
        <color theme="1"/>
        <rFont val="Arial"/>
        <family val="2"/>
      </rPr>
      <t>4108-4</t>
    </r>
    <r>
      <rPr>
        <sz val="9"/>
        <color theme="1"/>
        <rFont val="Arial"/>
        <family val="2"/>
      </rPr>
      <t xml:space="preserve"> : 20</t>
    </r>
    <r>
      <rPr>
        <sz val="9"/>
        <color theme="9"/>
        <rFont val="Arial"/>
        <family val="2"/>
      </rPr>
      <t>20-11</t>
    </r>
  </si>
  <si>
    <r>
      <t>DIN 4108-4 : 20</t>
    </r>
    <r>
      <rPr>
        <b/>
        <sz val="11"/>
        <color theme="9"/>
        <rFont val="Arial"/>
        <family val="2"/>
      </rPr>
      <t>20-11</t>
    </r>
    <r>
      <rPr>
        <b/>
        <sz val="11"/>
        <color theme="1"/>
        <rFont val="Arial"/>
        <family val="2"/>
      </rPr>
      <t xml:space="preserve"> - Tabelle 1 Bemessungswerte der Wärmeleitfähigkeit</t>
    </r>
  </si>
  <si>
    <r>
      <t>DIN 4108-4 : 20</t>
    </r>
    <r>
      <rPr>
        <b/>
        <sz val="11"/>
        <color theme="9"/>
        <rFont val="Arial"/>
        <family val="2"/>
      </rPr>
      <t>20-11</t>
    </r>
    <r>
      <rPr>
        <b/>
        <sz val="11"/>
        <color theme="1"/>
        <rFont val="Arial"/>
        <family val="2"/>
      </rPr>
      <t xml:space="preserve"> - Tabelle 2 Zeile 5 von Tabelle 1 für Wärmedämmstoffe</t>
    </r>
  </si>
  <si>
    <t>Ausgabe 2020: Zusatz "nach DIN EN 13279-1"</t>
  </si>
  <si>
    <t>1 000</t>
  </si>
  <si>
    <t>1 100</t>
  </si>
  <si>
    <t>1 200</t>
  </si>
  <si>
    <t>1 300</t>
  </si>
  <si>
    <t>1 400</t>
  </si>
  <si>
    <t>1 500</t>
  </si>
  <si>
    <t>4/10</t>
  </si>
  <si>
    <t>Ausgabe 2020: neue Zeilen/Rohdichten</t>
  </si>
  <si>
    <t>Ausgabe 2020: Gipsputz ohne Zuschlag entfällt</t>
  </si>
  <si>
    <t>Ausgabe 2020: div. Änderungen</t>
  </si>
  <si>
    <t xml:space="preserve">1 700 </t>
  </si>
  <si>
    <t xml:space="preserve">2 200 </t>
  </si>
  <si>
    <t xml:space="preserve">2 400 </t>
  </si>
  <si>
    <t>Ausgabe 2020: Änderungen an Werten</t>
  </si>
  <si>
    <t xml:space="preserve">ANMERKUNG  Die  in  Klammern  gesetzten  Zahlenwerte  dienen  nur  zur  Abschätzung.  Sie  besitzen  keine wissenschaftlich gesicherte Zuordnung. </t>
  </si>
  <si>
    <t xml:space="preserve">ANMERKUNG  Die  Auflistung  der  tabellierten  Rohdichten  mit  den  zugehörigen  Bemessungswerten  ist  nicht abschließend. </t>
  </si>
  <si>
    <t xml:space="preserve">e Bei Quarzsand erhöhen sich die Bemessungswerte der Wärmeleitfähigkeit um 20 % (bezogen auf alle Werte in Zeile 2.4.2). </t>
  </si>
  <si>
    <t xml:space="preserve">Die Bemessungswerte der Wärmeleitfähigkeit sind bei Hohlblöcken mit Quarzsandzusatz für 2-Kammer-Hbl um 20 % und für 3-Kammer-Hbl bis 6-Kammer-Hbl um 15 % zu erhöhen (bezogen auf alle Werte in Zeile 4.4.1). </t>
  </si>
  <si>
    <t xml:space="preserve">- NM - Normalmörtel; </t>
  </si>
  <si>
    <t xml:space="preserve">- LM21 - Leichtmörtel mit λ = 0,21 W/(m · K); </t>
  </si>
  <si>
    <t xml:space="preserve">- LM36 - Leichtmörtel mit λ = 0,36 W/(m · K); </t>
  </si>
  <si>
    <t xml:space="preserve">- DM - Dünnbettmörtel. </t>
  </si>
  <si>
    <t xml:space="preserve">ANMERKUNG  Errechnete Bemessungswerte werden in der Regel auf zwei wertanzeigende Ziffern gerundet. </t>
  </si>
  <si>
    <t xml:space="preserve">ANMERKUNG  Weitere Bemessungswerte können mit den jeweils in den Fußnoten angegebenen Gleichungen ermittelt werden.   </t>
  </si>
  <si>
    <r>
      <t>a λ</t>
    </r>
    <r>
      <rPr>
        <vertAlign val="subscript"/>
        <sz val="9"/>
        <color theme="1"/>
        <rFont val="Arial"/>
        <family val="2"/>
      </rPr>
      <t>Bemessung</t>
    </r>
    <r>
      <rPr>
        <sz val="9"/>
        <color theme="1"/>
        <rFont val="Arial"/>
        <family val="2"/>
      </rPr>
      <t xml:space="preserve"> = λ</t>
    </r>
    <r>
      <rPr>
        <vertAlign val="subscript"/>
        <sz val="9"/>
        <color theme="1"/>
        <rFont val="Arial"/>
        <family val="2"/>
      </rPr>
      <t>D</t>
    </r>
    <r>
      <rPr>
        <sz val="9"/>
        <color theme="1"/>
        <rFont val="Arial"/>
        <family val="2"/>
      </rPr>
      <t xml:space="preserve"> ∙ 1,03; aber mindestens ein Zuschlag von  1 mW/(m·K); </t>
    </r>
  </si>
  <si>
    <r>
      <t>b λ</t>
    </r>
    <r>
      <rPr>
        <vertAlign val="subscript"/>
        <sz val="9"/>
        <color theme="1"/>
        <rFont val="Arial"/>
        <family val="2"/>
      </rPr>
      <t>Bemessung</t>
    </r>
    <r>
      <rPr>
        <sz val="9"/>
        <color theme="1"/>
        <rFont val="Arial"/>
        <family val="2"/>
      </rPr>
      <t xml:space="preserve"> = λ</t>
    </r>
    <r>
      <rPr>
        <vertAlign val="subscript"/>
        <sz val="9"/>
        <color theme="1"/>
        <rFont val="Arial"/>
        <family val="2"/>
      </rPr>
      <t>D</t>
    </r>
    <r>
      <rPr>
        <sz val="9"/>
        <color theme="1"/>
        <rFont val="Arial"/>
        <family val="2"/>
      </rPr>
      <t xml:space="preserve"> ∙ 1,05; aber mindestens ein Zuschlag von  2 mW/(m·K); </t>
    </r>
  </si>
  <si>
    <r>
      <t>c λ</t>
    </r>
    <r>
      <rPr>
        <vertAlign val="subscript"/>
        <sz val="9"/>
        <color theme="1"/>
        <rFont val="Arial"/>
        <family val="2"/>
      </rPr>
      <t>Bemessung</t>
    </r>
    <r>
      <rPr>
        <sz val="9"/>
        <color theme="1"/>
        <rFont val="Arial"/>
        <family val="2"/>
      </rPr>
      <t xml:space="preserve"> = λ</t>
    </r>
    <r>
      <rPr>
        <vertAlign val="subscript"/>
        <sz val="9"/>
        <color theme="1"/>
        <rFont val="Arial"/>
        <family val="2"/>
      </rPr>
      <t>D</t>
    </r>
    <r>
      <rPr>
        <sz val="9"/>
        <color theme="1"/>
        <rFont val="Arial"/>
        <family val="2"/>
      </rPr>
      <t xml:space="preserve"> ∙ 1,10; aber mindestens ein Zuschlag von  3 mW/(m·K); </t>
    </r>
  </si>
  <si>
    <r>
      <t>d λ</t>
    </r>
    <r>
      <rPr>
        <vertAlign val="subscript"/>
        <sz val="9"/>
        <color theme="1"/>
        <rFont val="Arial"/>
        <family val="2"/>
      </rPr>
      <t>Bemessung</t>
    </r>
    <r>
      <rPr>
        <sz val="9"/>
        <color theme="1"/>
        <rFont val="Arial"/>
        <family val="2"/>
      </rPr>
      <t xml:space="preserve"> = λ</t>
    </r>
    <r>
      <rPr>
        <vertAlign val="subscript"/>
        <sz val="9"/>
        <color theme="1"/>
        <rFont val="Arial"/>
        <family val="2"/>
      </rPr>
      <t>D</t>
    </r>
    <r>
      <rPr>
        <sz val="9"/>
        <color theme="1"/>
        <rFont val="Arial"/>
        <family val="2"/>
      </rPr>
      <t xml:space="preserve"> ∙ 1,20; </t>
    </r>
  </si>
  <si>
    <r>
      <t>e λ</t>
    </r>
    <r>
      <rPr>
        <vertAlign val="subscript"/>
        <sz val="9"/>
        <color theme="1"/>
        <rFont val="Arial"/>
        <family val="2"/>
      </rPr>
      <t>Bemessung</t>
    </r>
    <r>
      <rPr>
        <sz val="9"/>
        <color theme="1"/>
        <rFont val="Arial"/>
        <family val="2"/>
      </rPr>
      <t xml:space="preserve"> = λ</t>
    </r>
    <r>
      <rPr>
        <vertAlign val="subscript"/>
        <sz val="9"/>
        <color theme="1"/>
        <rFont val="Arial"/>
        <family val="2"/>
      </rPr>
      <t>D</t>
    </r>
    <r>
      <rPr>
        <sz val="9"/>
        <color theme="1"/>
        <rFont val="Arial"/>
        <family val="2"/>
      </rPr>
      <t xml:space="preserve"> ∙ 1,23; </t>
    </r>
  </si>
  <si>
    <t xml:space="preserve">f Es ist jeweils der für die Baukonstruktion ungünstigere Wert einzusetzen. </t>
  </si>
  <si>
    <r>
      <t>g Die Anforderungen nach Fußnote a sind übertragbar auf den Bemessungswert des Wärmedurchgangskoeffizienten (U). U</t>
    </r>
    <r>
      <rPr>
        <vertAlign val="subscript"/>
        <sz val="9"/>
        <color theme="1"/>
        <rFont val="Arial"/>
        <family val="2"/>
      </rPr>
      <t>B</t>
    </r>
    <r>
      <rPr>
        <sz val="9"/>
        <color theme="1"/>
        <rFont val="Arial"/>
        <family val="2"/>
      </rPr>
      <t xml:space="preserve"> = U</t>
    </r>
    <r>
      <rPr>
        <vertAlign val="subscript"/>
        <sz val="9"/>
        <color theme="1"/>
        <rFont val="Arial"/>
        <family val="2"/>
      </rPr>
      <t>D</t>
    </r>
    <r>
      <rPr>
        <sz val="9"/>
        <color theme="1"/>
        <rFont val="Arial"/>
        <family val="2"/>
      </rPr>
      <t xml:space="preserve"> ∙ 1,03</t>
    </r>
  </si>
  <si>
    <t>5.12 Wärmedämmstoff</t>
  </si>
  <si>
    <t xml:space="preserve"> nach DIN EN 998-1</t>
  </si>
  <si>
    <t>3.4 Gipsplatten - rho 900 [0,25]</t>
  </si>
  <si>
    <t>1.1.2  Gipsputzmörtel - rho 1 000 [0,34]</t>
  </si>
  <si>
    <t>MoBi_GEG_V4.0</t>
  </si>
  <si>
    <t>GEG-2023</t>
  </si>
  <si>
    <t>Druckapplikation2023.exe</t>
  </si>
  <si>
    <t>https://bbsr.lmis.de/downloads/4.0/druckapplikation_4.0.0-win32_x86_setup.zip</t>
  </si>
  <si>
    <t>Windows 32-Bit-Version 4.0:</t>
  </si>
  <si>
    <t>Windows 64-Bit-Version 4.0:</t>
  </si>
  <si>
    <t>https://bbsr.lmis.de/downloads/4.0/druckapplikation_4.0.0-win32_x86_64_setup.zip</t>
  </si>
  <si>
    <t>Adresse Download Druckapplikation 4.0 (Windows, 32- und 64-Bit) - kann kopiert werden</t>
  </si>
  <si>
    <r>
      <t>8 Jahres-Primärenergiebedarf q</t>
    </r>
    <r>
      <rPr>
        <b/>
        <vertAlign val="subscript"/>
        <sz val="11"/>
        <rFont val="Arial"/>
        <family val="2"/>
      </rPr>
      <t>P,vorh</t>
    </r>
    <r>
      <rPr>
        <b/>
        <sz val="11"/>
        <rFont val="Arial"/>
        <family val="2"/>
      </rPr>
      <t xml:space="preserve"> [kWh/(m²a)] und Treibhausgasemissionen x</t>
    </r>
    <r>
      <rPr>
        <b/>
        <vertAlign val="subscript"/>
        <sz val="11"/>
        <rFont val="Arial"/>
        <family val="2"/>
      </rPr>
      <t>CO2</t>
    </r>
    <r>
      <rPr>
        <b/>
        <sz val="11"/>
        <rFont val="Arial"/>
        <family val="2"/>
      </rPr>
      <t xml:space="preserve"> [kg/(m²a)]</t>
    </r>
  </si>
  <si>
    <t>9.1 Nutzung von erneuerbaren Energien zur Wärme- und Kälteerzeugung (GEG Abschnitt 4)</t>
  </si>
  <si>
    <t>9.2 Nutzung von EE - Liste möglicher Maßnahmen (Auswahl über Kurzbezeichnung)</t>
  </si>
  <si>
    <t>10 Zwischenergebnisse Heizwärmebedarf</t>
  </si>
  <si>
    <t>11 Vereinfachte Berechnung der Gebäudeheizlast angelehnt an DIN EN 12831</t>
  </si>
  <si>
    <t>12 Klimadaten Monatswerte</t>
  </si>
  <si>
    <t>9 Nutzung von erneuerbaren Energien zur Wärme- und Kälteerzeugung (GEG Abschnitt 4)</t>
  </si>
  <si>
    <t>14.01.2023</t>
  </si>
  <si>
    <t>C:\Program Files\Druckapplikation2023</t>
  </si>
  <si>
    <t>Wunsch des Bauherrn neues Recht anzuwenden (gemäß GEG § 111 Absatz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</si>
</sst>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0.00;\-0.00;;"/>
    <numFmt numFmtId="165" formatCode="#,##0.00;\-#,##0.00;0"/>
    <numFmt numFmtId="166" formatCode="#,##0.00;\-#,##0.00;;"/>
    <numFmt numFmtId="167" formatCode="#,##0;\-0;;"/>
    <numFmt numFmtId="168" formatCode="0.00;\-0.00;0;"/>
    <numFmt numFmtId="169" formatCode="0.0;\-0.0;0;"/>
    <numFmt numFmtId="170" formatCode="#,##0;\-#,##0;0;"/>
    <numFmt numFmtId="171" formatCode="0.00;\-0.00;0"/>
    <numFmt numFmtId="172" formatCode="0.000;\-0.000;0;@"/>
    <numFmt numFmtId="173" formatCode="0.00;\-0.00;0;@"/>
    <numFmt numFmtId="174" formatCode="0.0000"/>
    <numFmt numFmtId="175" formatCode="#,##0.00;\-0;0;"/>
    <numFmt numFmtId="176" formatCode="&quot;Bauteilaufbau Nr. &quot;0"/>
    <numFmt numFmtId="177" formatCode="0.0"/>
    <numFmt numFmtId="178" formatCode="0.0000;\-0.0000;0"/>
    <numFmt numFmtId="179" formatCode="#,##0.00_ ;\-#,##0.00\ "/>
    <numFmt numFmtId="180" formatCode="yyyy\-mm\-dd"/>
    <numFmt numFmtId="181" formatCode="#,##0.000;\-#,##0.000;"/>
    <numFmt numFmtId="182" formatCode="#,##0.00;\-#,##0.00;;@"/>
    <numFmt numFmtId="183" formatCode="#,##0.0"/>
    <numFmt numFmtId="184" formatCode="#,##0.00;\-#,##0.00;0;@"/>
  </numFmts>
  <fonts count="245">
    <font>
      <sz val="11"/>
      <color theme="1"/>
      <name val="Calibri"/>
      <family val="2"/>
      <scheme val="minor"/>
    </font>
    <font>
      <sz val="11"/>
      <color theme="1"/>
      <name val="Arial"/>
      <family val="2"/>
    </font>
    <font>
      <b/>
      <sz val="11"/>
      <name val="Arial"/>
      <family val="2"/>
    </font>
    <font>
      <sz val="10"/>
      <name val="Arial"/>
      <family val="2"/>
    </font>
    <font>
      <vertAlign val="subscript"/>
      <sz val="10"/>
      <name val="Arial"/>
      <family val="2"/>
    </font>
    <font>
      <b/>
      <sz val="10"/>
      <name val="Arial"/>
      <family val="2"/>
    </font>
    <font>
      <i/>
      <sz val="10"/>
      <name val="Arial"/>
      <family val="2"/>
    </font>
    <font>
      <u/>
      <sz val="10"/>
      <name val="Arial"/>
      <family val="2"/>
    </font>
    <font>
      <b/>
      <vertAlign val="subscript"/>
      <sz val="11"/>
      <name val="Arial"/>
      <family val="2"/>
    </font>
    <font>
      <b/>
      <sz val="11"/>
      <color theme="1"/>
      <name val="Arial"/>
      <family val="2"/>
    </font>
    <font>
      <b/>
      <sz val="11"/>
      <color rgb="FF000000"/>
      <name val="Arial"/>
      <family val="2"/>
    </font>
    <font>
      <b/>
      <sz val="11"/>
      <color theme="1"/>
      <name val="Calibri"/>
      <family val="2"/>
      <scheme val="minor"/>
    </font>
    <font>
      <vertAlign val="superscript"/>
      <sz val="10"/>
      <name val="Arial"/>
      <family val="2"/>
    </font>
    <font>
      <b/>
      <vertAlign val="subscript"/>
      <sz val="10"/>
      <name val="Arial"/>
      <family val="2"/>
    </font>
    <font>
      <b/>
      <i/>
      <sz val="10"/>
      <name val="Arial"/>
      <family val="2"/>
    </font>
    <font>
      <sz val="10"/>
      <name val="Calibri"/>
      <family val="2"/>
    </font>
    <font>
      <sz val="10"/>
      <color rgb="FFFF0000"/>
      <name val="Arial"/>
      <family val="2"/>
    </font>
    <font>
      <sz val="10"/>
      <color theme="1"/>
      <name val="Symbol"/>
      <family val="1"/>
      <charset val="2"/>
    </font>
    <font>
      <vertAlign val="subscript"/>
      <sz val="10"/>
      <color theme="1"/>
      <name val="Arial"/>
      <family val="2"/>
    </font>
    <font>
      <sz val="10"/>
      <color theme="1"/>
      <name val="Arial"/>
      <family val="2"/>
    </font>
    <font>
      <sz val="10"/>
      <color theme="3"/>
      <name val="Arial"/>
      <family val="2"/>
    </font>
    <font>
      <sz val="10"/>
      <color theme="4"/>
      <name val="Arial"/>
      <family val="2"/>
    </font>
    <font>
      <b/>
      <sz val="10"/>
      <color theme="3"/>
      <name val="Arial"/>
      <family val="2"/>
    </font>
    <font>
      <b/>
      <sz val="10"/>
      <color theme="1"/>
      <name val="Arial"/>
      <family val="2"/>
    </font>
    <font>
      <b/>
      <vertAlign val="subscript"/>
      <sz val="10"/>
      <color theme="1"/>
      <name val="Arial"/>
      <family val="2"/>
    </font>
    <font>
      <b/>
      <vertAlign val="subscript"/>
      <sz val="10"/>
      <color theme="3"/>
      <name val="Arial"/>
      <family val="2"/>
    </font>
    <font>
      <u/>
      <sz val="10"/>
      <color theme="1"/>
      <name val="Arial"/>
      <family val="2"/>
    </font>
    <font>
      <sz val="10"/>
      <color rgb="FF00B050"/>
      <name val="Arial"/>
      <family val="2"/>
    </font>
    <font>
      <sz val="10"/>
      <color rgb="FFC00000"/>
      <name val="Arial"/>
      <family val="2"/>
    </font>
    <font>
      <sz val="9"/>
      <color theme="1"/>
      <name val="Arial"/>
      <family val="2"/>
    </font>
    <font>
      <sz val="9"/>
      <color theme="4"/>
      <name val="Arial"/>
      <family val="2"/>
    </font>
    <font>
      <b/>
      <sz val="9"/>
      <color theme="3"/>
      <name val="Arial"/>
      <family val="2"/>
    </font>
    <font>
      <sz val="9"/>
      <name val="Arial"/>
      <family val="2"/>
    </font>
    <font>
      <b/>
      <sz val="9"/>
      <name val="Arial"/>
      <family val="2"/>
    </font>
    <font>
      <sz val="9"/>
      <name val="Symbol"/>
      <family val="1"/>
      <charset val="2"/>
    </font>
    <font>
      <b/>
      <vertAlign val="subscript"/>
      <sz val="9"/>
      <name val="Arial"/>
      <family val="2"/>
    </font>
    <font>
      <vertAlign val="subscript"/>
      <sz val="9"/>
      <name val="Arial"/>
      <family val="2"/>
    </font>
    <font>
      <b/>
      <sz val="9"/>
      <color theme="1"/>
      <name val="Arial"/>
      <family val="2"/>
    </font>
    <font>
      <sz val="8"/>
      <color theme="1"/>
      <name val="Arial"/>
      <family val="2"/>
    </font>
    <font>
      <vertAlign val="subscript"/>
      <sz val="9"/>
      <color theme="1"/>
      <name val="Arial"/>
      <family val="2"/>
    </font>
    <font>
      <b/>
      <vertAlign val="subscript"/>
      <sz val="9"/>
      <color theme="1"/>
      <name val="Arial"/>
      <family val="2"/>
    </font>
    <font>
      <sz val="9"/>
      <color theme="0" tint="-0.34998626667073579"/>
      <name val="Arial"/>
      <family val="2"/>
    </font>
    <font>
      <b/>
      <sz val="9"/>
      <color theme="0" tint="-0.34998626667073579"/>
      <name val="Arial"/>
      <family val="2"/>
    </font>
    <font>
      <b/>
      <vertAlign val="subscript"/>
      <sz val="9"/>
      <color theme="0" tint="-0.34998626667073579"/>
      <name val="Arial"/>
      <family val="2"/>
    </font>
    <font>
      <sz val="9"/>
      <color rgb="FFFF0000"/>
      <name val="Arial"/>
      <family val="2"/>
    </font>
    <font>
      <sz val="9"/>
      <color theme="3"/>
      <name val="Arial"/>
      <family val="2"/>
    </font>
    <font>
      <b/>
      <sz val="10"/>
      <color theme="5" tint="-0.249977111117893"/>
      <name val="Arial"/>
      <family val="2"/>
    </font>
    <font>
      <i/>
      <sz val="10"/>
      <color theme="1"/>
      <name val="Arial"/>
      <family val="2"/>
    </font>
    <font>
      <sz val="10"/>
      <name val="Arial"/>
      <family val="2"/>
    </font>
    <font>
      <i/>
      <sz val="8"/>
      <color theme="1"/>
      <name val="Arial"/>
      <family val="2"/>
    </font>
    <font>
      <sz val="11"/>
      <color rgb="FFFF0000"/>
      <name val="Calibri"/>
      <family val="2"/>
      <scheme val="minor"/>
    </font>
    <font>
      <sz val="9"/>
      <color theme="3" tint="0.39997558519241921"/>
      <name val="Arial"/>
      <family val="2"/>
    </font>
    <font>
      <sz val="11"/>
      <color theme="1"/>
      <name val="Arial"/>
      <family val="2"/>
    </font>
    <font>
      <sz val="11"/>
      <color theme="0" tint="-0.249977111117893"/>
      <name val="Calibri"/>
      <family val="2"/>
      <scheme val="minor"/>
    </font>
    <font>
      <sz val="8"/>
      <color theme="0" tint="-0.34998626667073579"/>
      <name val="Arial"/>
      <family val="2"/>
    </font>
    <font>
      <b/>
      <sz val="11"/>
      <color theme="0"/>
      <name val="Calibri"/>
      <family val="2"/>
      <scheme val="minor"/>
    </font>
    <font>
      <sz val="11"/>
      <color theme="0"/>
      <name val="Calibri"/>
      <family val="2"/>
      <scheme val="minor"/>
    </font>
    <font>
      <sz val="8"/>
      <color theme="0"/>
      <name val="Arial"/>
      <family val="2"/>
    </font>
    <font>
      <sz val="10"/>
      <color theme="0"/>
      <name val="Arial"/>
      <family val="2"/>
    </font>
    <font>
      <b/>
      <sz val="10"/>
      <color theme="0"/>
      <name val="Arial"/>
      <family val="2"/>
    </font>
    <font>
      <b/>
      <sz val="9"/>
      <color rgb="FFFF0000"/>
      <name val="Arial"/>
      <family val="2"/>
    </font>
    <font>
      <sz val="10"/>
      <color rgb="FF92D050"/>
      <name val="Arial"/>
      <family val="2"/>
    </font>
    <font>
      <b/>
      <sz val="10"/>
      <color rgb="FF92D050"/>
      <name val="Arial"/>
      <family val="2"/>
    </font>
    <font>
      <sz val="9"/>
      <color rgb="FF92D050"/>
      <name val="Arial"/>
      <family val="2"/>
    </font>
    <font>
      <sz val="11"/>
      <color theme="7"/>
      <name val="Calibri"/>
      <family val="2"/>
      <scheme val="minor"/>
    </font>
    <font>
      <sz val="11"/>
      <color rgb="FF0070C0"/>
      <name val="Calibri"/>
      <family val="2"/>
      <scheme val="minor"/>
    </font>
    <font>
      <sz val="10"/>
      <color rgb="FF0070C0"/>
      <name val="Arial"/>
      <family val="2"/>
    </font>
    <font>
      <sz val="11"/>
      <color theme="6"/>
      <name val="Calibri"/>
      <family val="2"/>
      <scheme val="minor"/>
    </font>
    <font>
      <i/>
      <sz val="10"/>
      <color theme="5" tint="-0.249977111117893"/>
      <name val="Arial"/>
      <family val="2"/>
    </font>
    <font>
      <sz val="10"/>
      <color theme="7"/>
      <name val="Arial"/>
      <family val="2"/>
    </font>
    <font>
      <sz val="10"/>
      <color theme="6" tint="-0.249977111117893"/>
      <name val="Arial"/>
      <family val="2"/>
    </font>
    <font>
      <sz val="11"/>
      <color theme="9" tint="-0.249977111117893"/>
      <name val="Calibri"/>
      <family val="2"/>
      <scheme val="minor"/>
    </font>
    <font>
      <sz val="9"/>
      <color theme="0"/>
      <name val="Arial"/>
      <family val="2"/>
    </font>
    <font>
      <sz val="9"/>
      <color theme="6"/>
      <name val="Arial"/>
      <family val="2"/>
    </font>
    <font>
      <sz val="8"/>
      <color theme="6"/>
      <name val="Arial"/>
      <family val="2"/>
    </font>
    <font>
      <sz val="10"/>
      <color theme="6"/>
      <name val="Arial"/>
      <family val="2"/>
    </font>
    <font>
      <sz val="9"/>
      <color theme="0" tint="-0.249977111117893"/>
      <name val="Arial"/>
      <family val="2"/>
    </font>
    <font>
      <sz val="9"/>
      <color rgb="FFFFC000"/>
      <name val="Arial"/>
      <family val="2"/>
    </font>
    <font>
      <b/>
      <i/>
      <sz val="10"/>
      <color theme="1"/>
      <name val="Arial"/>
      <family val="2"/>
    </font>
    <font>
      <b/>
      <sz val="10"/>
      <color theme="9" tint="0.59999389629810485"/>
      <name val="Arial"/>
      <family val="2"/>
    </font>
    <font>
      <b/>
      <sz val="10"/>
      <color theme="9" tint="0.39997558519241921"/>
      <name val="Arial"/>
      <family val="2"/>
    </font>
    <font>
      <b/>
      <sz val="10"/>
      <color theme="9" tint="-0.249977111117893"/>
      <name val="Arial"/>
      <family val="2"/>
    </font>
    <font>
      <b/>
      <sz val="10"/>
      <color theme="9" tint="-0.499984740745262"/>
      <name val="Arial"/>
      <family val="2"/>
    </font>
    <font>
      <i/>
      <sz val="9"/>
      <color theme="1"/>
      <name val="Arial"/>
      <family val="2"/>
    </font>
    <font>
      <sz val="9"/>
      <color theme="0" tint="-0.499984740745262"/>
      <name val="Arial"/>
      <family val="2"/>
    </font>
    <font>
      <sz val="9"/>
      <color theme="6" tint="-0.499984740745262"/>
      <name val="Arial"/>
      <family val="2"/>
    </font>
    <font>
      <sz val="10"/>
      <color theme="7" tint="-0.249977111117893"/>
      <name val="Arial"/>
      <family val="2"/>
    </font>
    <font>
      <b/>
      <sz val="9"/>
      <color theme="4"/>
      <name val="Arial"/>
      <family val="2"/>
    </font>
    <font>
      <sz val="10"/>
      <name val="Symbol"/>
      <family val="1"/>
      <charset val="2"/>
    </font>
    <font>
      <b/>
      <sz val="8"/>
      <color indexed="81"/>
      <name val="Tahoma"/>
      <family val="2"/>
    </font>
    <font>
      <sz val="8"/>
      <color indexed="81"/>
      <name val="Tahoma"/>
      <family val="2"/>
    </font>
    <font>
      <sz val="10"/>
      <color theme="3" tint="0.39997558519241921"/>
      <name val="Arial"/>
      <family val="2"/>
    </font>
    <font>
      <sz val="9"/>
      <color theme="6" tint="-0.249977111117893"/>
      <name val="Arial"/>
      <family val="2"/>
    </font>
    <font>
      <b/>
      <sz val="9"/>
      <color theme="6" tint="-0.249977111117893"/>
      <name val="Arial"/>
      <family val="2"/>
    </font>
    <font>
      <sz val="9"/>
      <color theme="7"/>
      <name val="Arial"/>
      <family val="2"/>
    </font>
    <font>
      <sz val="9"/>
      <color theme="5"/>
      <name val="Arial"/>
      <family val="2"/>
    </font>
    <font>
      <b/>
      <sz val="9"/>
      <color theme="5"/>
      <name val="Arial"/>
      <family val="2"/>
    </font>
    <font>
      <b/>
      <sz val="9"/>
      <color rgb="FF92D050"/>
      <name val="Arial"/>
      <family val="2"/>
    </font>
    <font>
      <sz val="8"/>
      <color rgb="FFFF0000"/>
      <name val="Arial"/>
      <family val="2"/>
    </font>
    <font>
      <sz val="9"/>
      <color theme="5" tint="-0.499984740745262"/>
      <name val="Arial"/>
      <family val="2"/>
    </font>
    <font>
      <b/>
      <sz val="9"/>
      <color theme="0" tint="-0.249977111117893"/>
      <name val="Arial"/>
      <family val="2"/>
    </font>
    <font>
      <b/>
      <vertAlign val="subscript"/>
      <sz val="9"/>
      <color theme="3"/>
      <name val="Arial"/>
      <family val="2"/>
    </font>
    <font>
      <vertAlign val="subscript"/>
      <sz val="9"/>
      <color theme="3"/>
      <name val="Arial"/>
      <family val="2"/>
    </font>
    <font>
      <b/>
      <sz val="9"/>
      <color theme="3"/>
      <name val="Symbol"/>
      <family val="1"/>
      <charset val="2"/>
    </font>
    <font>
      <sz val="9"/>
      <color theme="3" tint="0.59999389629810485"/>
      <name val="Arial"/>
      <family val="2"/>
    </font>
    <font>
      <sz val="7"/>
      <color theme="1"/>
      <name val="Arial"/>
      <family val="2"/>
    </font>
    <font>
      <sz val="7"/>
      <name val="Arial"/>
      <family val="2"/>
    </font>
    <font>
      <b/>
      <sz val="10"/>
      <color theme="0" tint="-0.14999847407452621"/>
      <name val="Arial"/>
      <family val="2"/>
    </font>
    <font>
      <b/>
      <i/>
      <sz val="9"/>
      <color theme="3"/>
      <name val="Arial"/>
      <family val="2"/>
    </font>
    <font>
      <i/>
      <sz val="9"/>
      <color theme="4"/>
      <name val="Arial"/>
      <family val="2"/>
    </font>
    <font>
      <b/>
      <i/>
      <sz val="9"/>
      <color theme="4"/>
      <name val="Arial"/>
      <family val="2"/>
    </font>
    <font>
      <i/>
      <sz val="9"/>
      <color theme="3" tint="0.59999389629810485"/>
      <name val="Arial"/>
      <family val="2"/>
    </font>
    <font>
      <sz val="10"/>
      <color theme="9"/>
      <name val="Arial"/>
      <family val="2"/>
    </font>
    <font>
      <b/>
      <sz val="10"/>
      <color theme="4"/>
      <name val="Arial"/>
      <family val="2"/>
    </font>
    <font>
      <sz val="9"/>
      <color theme="1"/>
      <name val="Symbol"/>
      <family val="1"/>
      <charset val="2"/>
    </font>
    <font>
      <b/>
      <sz val="9"/>
      <name val="Symbol"/>
      <family val="1"/>
      <charset val="2"/>
    </font>
    <font>
      <b/>
      <sz val="10"/>
      <color theme="6" tint="-0.499984740745262"/>
      <name val="Arial"/>
      <family val="2"/>
    </font>
    <font>
      <b/>
      <sz val="11"/>
      <color theme="0" tint="-0.14999847407452621"/>
      <name val="Arial"/>
      <family val="2"/>
    </font>
    <font>
      <b/>
      <sz val="9"/>
      <color theme="6" tint="-0.499984740745262"/>
      <name val="Arial"/>
      <family val="2"/>
    </font>
    <font>
      <b/>
      <u/>
      <sz val="10"/>
      <color theme="0" tint="-0.34998626667073579"/>
      <name val="Arial"/>
      <family val="2"/>
    </font>
    <font>
      <sz val="10"/>
      <color theme="0" tint="-0.34998626667073579"/>
      <name val="Arial"/>
      <family val="2"/>
    </font>
    <font>
      <sz val="8"/>
      <name val="Arial"/>
      <family val="2"/>
    </font>
    <font>
      <b/>
      <sz val="10"/>
      <name val="Symbol"/>
      <family val="1"/>
      <charset val="2"/>
    </font>
    <font>
      <b/>
      <sz val="8"/>
      <name val="Arial"/>
      <family val="2"/>
    </font>
    <font>
      <sz val="10"/>
      <name val="Calibri"/>
      <family val="2"/>
      <scheme val="minor"/>
    </font>
    <font>
      <vertAlign val="subscript"/>
      <sz val="8"/>
      <color theme="0" tint="-0.34998626667073579"/>
      <name val="Calibri"/>
      <family val="2"/>
    </font>
    <font>
      <sz val="8"/>
      <color theme="0" tint="-0.34998626667073579"/>
      <name val="Calibri"/>
      <family val="2"/>
      <scheme val="minor"/>
    </font>
    <font>
      <vertAlign val="superscript"/>
      <sz val="8"/>
      <color theme="0" tint="-0.34998626667073579"/>
      <name val="Calibri"/>
      <family val="2"/>
      <scheme val="minor"/>
    </font>
    <font>
      <sz val="10"/>
      <color theme="0" tint="-0.249977111117893"/>
      <name val="Arial"/>
      <family val="2"/>
    </font>
    <font>
      <vertAlign val="superscript"/>
      <sz val="9"/>
      <color theme="1"/>
      <name val="Arial"/>
      <family val="2"/>
    </font>
    <font>
      <vertAlign val="superscript"/>
      <sz val="9"/>
      <color rgb="FFFF0000"/>
      <name val="Arial"/>
      <family val="2"/>
    </font>
    <font>
      <i/>
      <sz val="9"/>
      <color theme="0"/>
      <name val="Arial"/>
      <family val="2"/>
    </font>
    <font>
      <i/>
      <sz val="9"/>
      <color theme="3"/>
      <name val="Arial"/>
      <family val="2"/>
    </font>
    <font>
      <b/>
      <sz val="8"/>
      <color theme="1"/>
      <name val="Arial"/>
      <family val="2"/>
    </font>
    <font>
      <sz val="6"/>
      <color theme="6" tint="-0.249977111117893"/>
      <name val="Arial"/>
      <family val="2"/>
    </font>
    <font>
      <u/>
      <sz val="9"/>
      <color theme="1"/>
      <name val="Arial"/>
      <family val="2"/>
    </font>
    <font>
      <sz val="9"/>
      <color rgb="FFC00000"/>
      <name val="Arial"/>
      <family val="2"/>
    </font>
    <font>
      <b/>
      <sz val="9"/>
      <color rgb="FFC00000"/>
      <name val="Arial"/>
      <family val="2"/>
    </font>
    <font>
      <vertAlign val="superscript"/>
      <sz val="9"/>
      <color rgb="FFC00000"/>
      <name val="Arial"/>
      <family val="2"/>
    </font>
    <font>
      <b/>
      <vertAlign val="superscript"/>
      <sz val="10"/>
      <name val="Arial"/>
      <family val="2"/>
    </font>
    <font>
      <b/>
      <vertAlign val="superscript"/>
      <sz val="9"/>
      <color theme="1"/>
      <name val="Arial"/>
      <family val="2"/>
    </font>
    <font>
      <vertAlign val="subscript"/>
      <sz val="8"/>
      <name val="Arial"/>
      <family val="2"/>
    </font>
    <font>
      <vertAlign val="superscript"/>
      <sz val="8"/>
      <name val="Arial"/>
      <family val="2"/>
    </font>
    <font>
      <i/>
      <sz val="10"/>
      <color theme="0" tint="-0.34998626667073579"/>
      <name val="Arial"/>
      <family val="2"/>
    </font>
    <font>
      <sz val="9"/>
      <color theme="0" tint="-0.34998626667073579"/>
      <name val="Symbol"/>
      <family val="1"/>
      <charset val="2"/>
    </font>
    <font>
      <vertAlign val="subscript"/>
      <sz val="9"/>
      <color theme="0" tint="-0.34998626667073579"/>
      <name val="Arial"/>
      <family val="2"/>
    </font>
    <font>
      <sz val="10"/>
      <color theme="1"/>
      <name val="Calibri"/>
      <family val="2"/>
      <scheme val="minor"/>
    </font>
    <font>
      <b/>
      <sz val="10"/>
      <color rgb="FFFF0000"/>
      <name val="Arial"/>
      <family val="2"/>
    </font>
    <font>
      <i/>
      <sz val="8"/>
      <name val="Arial"/>
      <family val="2"/>
    </font>
    <font>
      <b/>
      <sz val="10"/>
      <color rgb="FFC00000"/>
      <name val="Arial"/>
      <family val="2"/>
    </font>
    <font>
      <sz val="10"/>
      <color theme="0" tint="-0.499984740745262"/>
      <name val="Arial"/>
      <family val="2"/>
    </font>
    <font>
      <i/>
      <sz val="10"/>
      <color theme="1"/>
      <name val="Calibri"/>
      <family val="2"/>
      <scheme val="minor"/>
    </font>
    <font>
      <i/>
      <sz val="10"/>
      <color theme="4"/>
      <name val="Arial"/>
      <family val="2"/>
    </font>
    <font>
      <sz val="9"/>
      <color rgb="FF7030A0"/>
      <name val="Arial"/>
      <family val="2"/>
    </font>
    <font>
      <sz val="10"/>
      <color rgb="FF7030A0"/>
      <name val="Arial"/>
      <family val="2"/>
    </font>
    <font>
      <u/>
      <sz val="9"/>
      <color rgb="FF7030A0"/>
      <name val="Arial"/>
      <family val="2"/>
    </font>
    <font>
      <i/>
      <sz val="9"/>
      <color theme="3" tint="0.39997558519241921"/>
      <name val="Arial"/>
      <family val="2"/>
    </font>
    <font>
      <i/>
      <sz val="8"/>
      <color theme="0" tint="-0.34998626667073579"/>
      <name val="Arial"/>
      <family val="2"/>
    </font>
    <font>
      <u/>
      <sz val="10"/>
      <color theme="1"/>
      <name val="Calibri"/>
      <family val="2"/>
      <scheme val="minor"/>
    </font>
    <font>
      <u/>
      <sz val="11"/>
      <color theme="1"/>
      <name val="Calibri"/>
      <family val="2"/>
      <scheme val="minor"/>
    </font>
    <font>
      <u/>
      <sz val="11"/>
      <color theme="6" tint="-0.249977111117893"/>
      <name val="Calibri"/>
      <family val="2"/>
      <scheme val="minor"/>
    </font>
    <font>
      <u/>
      <sz val="11"/>
      <color theme="7"/>
      <name val="Calibri"/>
      <family val="2"/>
      <scheme val="minor"/>
    </font>
    <font>
      <u/>
      <sz val="11"/>
      <color theme="9" tint="-0.249977111117893"/>
      <name val="Calibri"/>
      <family val="2"/>
      <scheme val="minor"/>
    </font>
    <font>
      <u/>
      <sz val="11"/>
      <color theme="10"/>
      <name val="Calibri"/>
      <family val="2"/>
      <scheme val="minor"/>
    </font>
    <font>
      <sz val="11"/>
      <color theme="0" tint="-0.34998626667073579"/>
      <name val="Calibri"/>
      <family val="2"/>
      <scheme val="minor"/>
    </font>
    <font>
      <sz val="11"/>
      <color theme="1"/>
      <name val="Symbol"/>
      <family val="1"/>
      <charset val="2"/>
    </font>
    <font>
      <sz val="9"/>
      <color theme="9" tint="-0.499984740745262"/>
      <name val="Arial"/>
      <family val="2"/>
    </font>
    <font>
      <b/>
      <u/>
      <sz val="9"/>
      <color theme="1"/>
      <name val="Arial"/>
      <family val="2"/>
    </font>
    <font>
      <u/>
      <sz val="9"/>
      <color theme="0" tint="-0.34998626667073579"/>
      <name val="Arial"/>
      <family val="2"/>
    </font>
    <font>
      <b/>
      <u/>
      <sz val="9"/>
      <color theme="0" tint="-0.34998626667073579"/>
      <name val="Arial"/>
      <family val="2"/>
    </font>
    <font>
      <sz val="11"/>
      <color rgb="FF7030A0"/>
      <name val="Calibri"/>
      <family val="2"/>
      <scheme val="minor"/>
    </font>
    <font>
      <sz val="11"/>
      <color theme="2"/>
      <name val="Calibri"/>
      <family val="2"/>
      <scheme val="minor"/>
    </font>
    <font>
      <vertAlign val="subscript"/>
      <sz val="10"/>
      <color theme="0" tint="-0.34998626667073579"/>
      <name val="Arial"/>
      <family val="2"/>
    </font>
    <font>
      <sz val="8"/>
      <color rgb="FF000000"/>
      <name val="Segoe UI"/>
      <family val="2"/>
    </font>
    <font>
      <sz val="9"/>
      <color rgb="FF00B050"/>
      <name val="Arial"/>
      <family val="2"/>
    </font>
    <font>
      <sz val="9"/>
      <color rgb="FF0070C0"/>
      <name val="Arial"/>
      <family val="2"/>
    </font>
    <font>
      <b/>
      <sz val="9"/>
      <color rgb="FF0070C0"/>
      <name val="Arial"/>
      <family val="2"/>
    </font>
    <font>
      <b/>
      <vertAlign val="superscript"/>
      <sz val="10"/>
      <color rgb="FF0070C0"/>
      <name val="Arial"/>
      <family val="2"/>
    </font>
    <font>
      <b/>
      <sz val="10"/>
      <color rgb="FF0070C0"/>
      <name val="Arial"/>
      <family val="2"/>
    </font>
    <font>
      <vertAlign val="superscript"/>
      <sz val="10"/>
      <color rgb="FF0070C0"/>
      <name val="Arial"/>
      <family val="2"/>
    </font>
    <font>
      <vertAlign val="subscript"/>
      <sz val="10"/>
      <color rgb="FF0070C0"/>
      <name val="Arial"/>
      <family val="2"/>
    </font>
    <font>
      <sz val="11"/>
      <color theme="8"/>
      <name val="Calibri"/>
      <family val="2"/>
      <scheme val="minor"/>
    </font>
    <font>
      <sz val="11"/>
      <color theme="4"/>
      <name val="Calibri"/>
      <family val="2"/>
      <scheme val="minor"/>
    </font>
    <font>
      <sz val="11"/>
      <color theme="5"/>
      <name val="Calibri"/>
      <family val="2"/>
      <scheme val="minor"/>
    </font>
    <font>
      <b/>
      <sz val="11"/>
      <color theme="6"/>
      <name val="Calibri"/>
      <family val="2"/>
      <scheme val="minor"/>
    </font>
    <font>
      <b/>
      <sz val="11"/>
      <color rgb="FF0070C0"/>
      <name val="Calibri"/>
      <family val="2"/>
      <scheme val="minor"/>
    </font>
    <font>
      <b/>
      <sz val="11"/>
      <color theme="4"/>
      <name val="Calibri"/>
      <family val="2"/>
      <scheme val="minor"/>
    </font>
    <font>
      <sz val="11"/>
      <color rgb="FF1F497D"/>
      <name val="Calibri"/>
      <family val="2"/>
    </font>
    <font>
      <sz val="10"/>
      <color theme="5"/>
      <name val="Arial"/>
      <family val="2"/>
    </font>
    <font>
      <u/>
      <sz val="10"/>
      <color theme="4"/>
      <name val="Arial"/>
      <family val="2"/>
    </font>
    <font>
      <u/>
      <sz val="10"/>
      <color theme="6"/>
      <name val="Arial"/>
      <family val="2"/>
    </font>
    <font>
      <u/>
      <sz val="9"/>
      <color rgb="FF00B050"/>
      <name val="Arial"/>
      <family val="2"/>
    </font>
    <font>
      <u/>
      <sz val="10"/>
      <color theme="5"/>
      <name val="Arial"/>
      <family val="2"/>
    </font>
    <font>
      <b/>
      <sz val="10"/>
      <color theme="5"/>
      <name val="Arial"/>
      <family val="2"/>
    </font>
    <font>
      <sz val="11"/>
      <color theme="1"/>
      <name val="Calibri"/>
      <family val="2"/>
      <scheme val="minor"/>
    </font>
    <font>
      <sz val="8"/>
      <name val="Calibri"/>
      <family val="2"/>
      <scheme val="minor"/>
    </font>
    <font>
      <vertAlign val="subscript"/>
      <sz val="10"/>
      <color theme="6" tint="-0.249977111117893"/>
      <name val="Arial"/>
      <family val="2"/>
    </font>
    <font>
      <i/>
      <sz val="10"/>
      <color theme="6" tint="-0.249977111117893"/>
      <name val="Arial"/>
      <family val="2"/>
    </font>
    <font>
      <b/>
      <sz val="10"/>
      <color theme="6" tint="-0.249977111117893"/>
      <name val="Arial"/>
      <family val="2"/>
    </font>
    <font>
      <b/>
      <vertAlign val="subscript"/>
      <sz val="10"/>
      <color theme="6" tint="-0.249977111117893"/>
      <name val="Arial"/>
      <family val="2"/>
    </font>
    <font>
      <b/>
      <i/>
      <sz val="10"/>
      <color theme="6" tint="-0.249977111117893"/>
      <name val="Arial"/>
      <family val="2"/>
    </font>
    <font>
      <i/>
      <sz val="9"/>
      <name val="Arial"/>
      <family val="2"/>
    </font>
    <font>
      <sz val="9"/>
      <color theme="9"/>
      <name val="Arial"/>
      <family val="2"/>
    </font>
    <font>
      <b/>
      <sz val="9"/>
      <color theme="9"/>
      <name val="Arial"/>
      <family val="2"/>
    </font>
    <font>
      <sz val="10"/>
      <name val="Arial"/>
      <family val="1"/>
      <charset val="2"/>
    </font>
    <font>
      <b/>
      <sz val="10"/>
      <color theme="0" tint="-0.499984740745262"/>
      <name val="Arial"/>
      <family val="2"/>
    </font>
    <font>
      <i/>
      <sz val="10"/>
      <color theme="0" tint="-0.499984740745262"/>
      <name val="Arial"/>
      <family val="2"/>
    </font>
    <font>
      <sz val="8"/>
      <color theme="0" tint="-0.499984740745262"/>
      <name val="Arial"/>
      <family val="2"/>
    </font>
    <font>
      <u/>
      <sz val="10"/>
      <color theme="0" tint="-0.499984740745262"/>
      <name val="Arial"/>
      <family val="2"/>
    </font>
    <font>
      <b/>
      <sz val="9"/>
      <color theme="0" tint="-0.499984740745262"/>
      <name val="Arial"/>
      <family val="2"/>
    </font>
    <font>
      <b/>
      <vertAlign val="subscript"/>
      <sz val="9"/>
      <color theme="0" tint="-0.499984740745262"/>
      <name val="Arial"/>
      <family val="2"/>
    </font>
    <font>
      <b/>
      <sz val="11"/>
      <color theme="0" tint="-0.499984740745262"/>
      <name val="Arial"/>
      <family val="2"/>
    </font>
    <font>
      <sz val="10"/>
      <color theme="0" tint="-0.34998626667073579"/>
      <name val="Calibri"/>
      <family val="2"/>
      <scheme val="minor"/>
    </font>
    <font>
      <u/>
      <sz val="10"/>
      <color rgb="FF7030A0"/>
      <name val="Arial"/>
      <family val="2"/>
    </font>
    <font>
      <sz val="10"/>
      <color theme="4" tint="0.59999389629810485"/>
      <name val="Arial"/>
      <family val="2"/>
    </font>
    <font>
      <sz val="10"/>
      <color theme="4" tint="-0.249977111117893"/>
      <name val="Arial"/>
      <family val="2"/>
    </font>
    <font>
      <b/>
      <sz val="10"/>
      <name val="Calibri"/>
      <family val="2"/>
      <scheme val="minor"/>
    </font>
    <font>
      <vertAlign val="subscript"/>
      <sz val="10"/>
      <name val="Calibri"/>
      <family val="2"/>
      <scheme val="minor"/>
    </font>
    <font>
      <i/>
      <sz val="10"/>
      <color theme="0" tint="-0.14999847407452621"/>
      <name val="Arial"/>
      <family val="2"/>
    </font>
    <font>
      <sz val="11"/>
      <name val="Calibri"/>
      <family val="2"/>
    </font>
    <font>
      <sz val="11"/>
      <color theme="6"/>
      <name val="Calibri"/>
      <family val="2"/>
    </font>
    <font>
      <sz val="11"/>
      <color theme="1"/>
      <name val="Calibri"/>
      <family val="2"/>
    </font>
    <font>
      <sz val="11"/>
      <color theme="7"/>
      <name val="Calibri"/>
      <family val="2"/>
    </font>
    <font>
      <sz val="11"/>
      <color theme="9" tint="-0.249977111117893"/>
      <name val="Calibri"/>
      <family val="2"/>
    </font>
    <font>
      <sz val="11"/>
      <color rgb="FF0070C0"/>
      <name val="Calibri"/>
      <family val="2"/>
    </font>
    <font>
      <sz val="11"/>
      <color rgb="FFFF0000"/>
      <name val="Calibri"/>
      <family val="2"/>
    </font>
    <font>
      <sz val="11"/>
      <color theme="0" tint="-0.249977111117893"/>
      <name val="Calibri"/>
      <family val="2"/>
    </font>
    <font>
      <sz val="11"/>
      <color theme="9"/>
      <name val="Calibri"/>
      <family val="2"/>
      <scheme val="minor"/>
    </font>
    <font>
      <u/>
      <sz val="11"/>
      <color theme="9"/>
      <name val="Calibri"/>
      <family val="2"/>
      <scheme val="minor"/>
    </font>
    <font>
      <sz val="10"/>
      <color theme="0" tint="-0.249977111117893"/>
      <name val="Calibri"/>
      <family val="2"/>
      <scheme val="minor"/>
    </font>
    <font>
      <vertAlign val="subscript"/>
      <sz val="11"/>
      <color theme="1"/>
      <name val="Calibri"/>
      <family val="2"/>
      <scheme val="minor"/>
    </font>
    <font>
      <b/>
      <sz val="11"/>
      <color theme="9"/>
      <name val="Calibri"/>
      <family val="2"/>
      <scheme val="minor"/>
    </font>
    <font>
      <u/>
      <sz val="11"/>
      <color theme="4"/>
      <name val="Calibri"/>
      <family val="2"/>
      <scheme val="minor"/>
    </font>
    <font>
      <sz val="10"/>
      <color rgb="FF000000"/>
      <name val="Calibri"/>
      <family val="2"/>
    </font>
    <font>
      <sz val="11"/>
      <color rgb="FF000000"/>
      <name val="Calibri"/>
      <family val="2"/>
    </font>
    <font>
      <sz val="9"/>
      <name val="Calibri"/>
      <family val="2"/>
      <scheme val="minor"/>
    </font>
    <font>
      <sz val="9"/>
      <color theme="1"/>
      <name val="Calibri"/>
      <family val="2"/>
      <scheme val="minor"/>
    </font>
    <font>
      <u/>
      <sz val="11"/>
      <color theme="8"/>
      <name val="Calibri"/>
      <family val="2"/>
      <scheme val="minor"/>
    </font>
    <font>
      <sz val="11"/>
      <color theme="8" tint="0.39997558519241921"/>
      <name val="Calibri"/>
      <family val="2"/>
      <scheme val="minor"/>
    </font>
    <font>
      <b/>
      <sz val="11"/>
      <color theme="8" tint="0.39997558519241921"/>
      <name val="Calibri"/>
      <family val="2"/>
      <scheme val="minor"/>
    </font>
    <font>
      <b/>
      <sz val="10"/>
      <color theme="9"/>
      <name val="Arial"/>
      <family val="2"/>
    </font>
    <font>
      <sz val="9"/>
      <color theme="3"/>
      <name val="Symbol"/>
      <family val="1"/>
      <charset val="2"/>
    </font>
    <font>
      <u/>
      <sz val="9"/>
      <color theme="3" tint="0.59999389629810485"/>
      <name val="Arial"/>
      <family val="2"/>
    </font>
    <font>
      <sz val="9"/>
      <color theme="3"/>
      <name val="Arial"/>
      <family val="1"/>
      <charset val="2"/>
    </font>
    <font>
      <b/>
      <sz val="11"/>
      <color theme="9"/>
      <name val="Arial"/>
      <family val="2"/>
    </font>
  </fonts>
  <fills count="24">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99"/>
        <bgColor indexed="64"/>
      </patternFill>
    </fill>
    <fill>
      <patternFill patternType="solid">
        <fgColor indexed="13"/>
        <bgColor indexed="64"/>
      </patternFill>
    </fill>
    <fill>
      <patternFill patternType="solid">
        <fgColor indexed="51"/>
        <bgColor indexed="64"/>
      </patternFill>
    </fill>
    <fill>
      <patternFill patternType="solid">
        <fgColor theme="4" tint="0.39997558519241921"/>
        <bgColor indexed="64"/>
      </patternFill>
    </fill>
    <fill>
      <patternFill patternType="solid">
        <fgColor rgb="FFC5D9F1"/>
        <bgColor indexed="64"/>
      </patternFill>
    </fill>
    <fill>
      <patternFill patternType="solid">
        <fgColor rgb="FF92D05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9" tint="0.39997558519241921"/>
        <bgColor indexed="64"/>
      </patternFill>
    </fill>
  </fills>
  <borders count="64">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theme="0"/>
      </left>
      <right style="medium">
        <color theme="0"/>
      </right>
      <top/>
      <bottom/>
      <diagonal/>
    </border>
    <border>
      <left style="medium">
        <color theme="0"/>
      </left>
      <right/>
      <top/>
      <bottom/>
      <diagonal/>
    </border>
    <border>
      <left/>
      <right style="medium">
        <color theme="0"/>
      </right>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bottom style="medium">
        <color theme="0"/>
      </bottom>
      <diagonal/>
    </border>
    <border>
      <left/>
      <right/>
      <top style="medium">
        <color theme="0"/>
      </top>
      <bottom style="medium">
        <color theme="0"/>
      </bottom>
      <diagonal/>
    </border>
    <border>
      <left/>
      <right/>
      <top style="medium">
        <color theme="0"/>
      </top>
      <bottom/>
      <diagonal/>
    </border>
    <border>
      <left/>
      <right style="thick">
        <color theme="0"/>
      </right>
      <top/>
      <bottom style="thick">
        <color theme="0"/>
      </bottom>
      <diagonal/>
    </border>
    <border>
      <left style="thick">
        <color theme="0"/>
      </left>
      <right/>
      <top/>
      <bottom style="thick">
        <color theme="0"/>
      </bottom>
      <diagonal/>
    </border>
    <border>
      <left/>
      <right style="thick">
        <color theme="0"/>
      </right>
      <top style="thick">
        <color theme="0"/>
      </top>
      <bottom style="thick">
        <color theme="0"/>
      </bottom>
      <diagonal/>
    </border>
    <border>
      <left style="thick">
        <color theme="0"/>
      </left>
      <right/>
      <top style="thick">
        <color theme="0"/>
      </top>
      <bottom style="thick">
        <color theme="0"/>
      </bottom>
      <diagonal/>
    </border>
    <border>
      <left/>
      <right style="thick">
        <color theme="0"/>
      </right>
      <top style="thick">
        <color theme="0"/>
      </top>
      <bottom/>
      <diagonal/>
    </border>
    <border>
      <left style="thick">
        <color theme="0"/>
      </left>
      <right/>
      <top style="thick">
        <color theme="0"/>
      </top>
      <bottom/>
      <diagonal/>
    </border>
    <border>
      <left style="medium">
        <color theme="0"/>
      </left>
      <right/>
      <top style="thin">
        <color indexed="64"/>
      </top>
      <bottom style="medium">
        <color theme="0"/>
      </bottom>
      <diagonal/>
    </border>
    <border>
      <left/>
      <right/>
      <top style="thin">
        <color indexed="64"/>
      </top>
      <bottom style="medium">
        <color theme="0"/>
      </bottom>
      <diagonal/>
    </border>
    <border>
      <left style="thick">
        <color theme="0"/>
      </left>
      <right style="thick">
        <color theme="0"/>
      </right>
      <top/>
      <bottom style="thick">
        <color theme="0"/>
      </bottom>
      <diagonal/>
    </border>
    <border>
      <left style="thin">
        <color indexed="64"/>
      </left>
      <right style="medium">
        <color theme="0"/>
      </right>
      <top/>
      <bottom/>
      <diagonal/>
    </border>
    <border>
      <left style="medium">
        <color theme="0"/>
      </left>
      <right style="thin">
        <color indexed="64"/>
      </right>
      <top/>
      <bottom/>
      <diagonal/>
    </border>
    <border>
      <left/>
      <right style="thin">
        <color indexed="64"/>
      </right>
      <top/>
      <bottom style="medium">
        <color theme="0"/>
      </bottom>
      <diagonal/>
    </border>
    <border>
      <left/>
      <right style="thin">
        <color indexed="64"/>
      </right>
      <top style="medium">
        <color theme="0"/>
      </top>
      <bottom style="medium">
        <color theme="0"/>
      </bottom>
      <diagonal/>
    </border>
    <border>
      <left/>
      <right style="thin">
        <color indexed="64"/>
      </right>
      <top style="medium">
        <color theme="0"/>
      </top>
      <bottom/>
      <diagonal/>
    </border>
    <border>
      <left/>
      <right style="thick">
        <color theme="0"/>
      </right>
      <top/>
      <bottom/>
      <diagonal/>
    </border>
    <border>
      <left style="thick">
        <color theme="0"/>
      </left>
      <right style="thick">
        <color theme="0"/>
      </right>
      <top/>
      <bottom/>
      <diagonal/>
    </border>
    <border>
      <left style="thick">
        <color theme="0"/>
      </left>
      <right/>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style="thin">
        <color indexed="64"/>
      </left>
      <right style="medium">
        <color theme="0"/>
      </right>
      <top style="thin">
        <color indexed="64"/>
      </top>
      <bottom/>
      <diagonal/>
    </border>
    <border>
      <left style="medium">
        <color theme="0"/>
      </left>
      <right style="medium">
        <color theme="0"/>
      </right>
      <top style="thin">
        <color indexed="64"/>
      </top>
      <bottom/>
      <diagonal/>
    </border>
    <border>
      <left style="medium">
        <color theme="0"/>
      </left>
      <right style="thin">
        <color indexed="64"/>
      </right>
      <top style="thin">
        <color indexed="64"/>
      </top>
      <bottom/>
      <diagonal/>
    </border>
    <border>
      <left/>
      <right style="medium">
        <color theme="0"/>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22"/>
      </left>
      <right/>
      <top/>
      <bottom style="thin">
        <color indexed="64"/>
      </bottom>
      <diagonal/>
    </border>
    <border>
      <left style="thin">
        <color indexed="22"/>
      </left>
      <right style="thin">
        <color indexed="64"/>
      </right>
      <top/>
      <bottom style="thin">
        <color indexed="64"/>
      </bottom>
      <diagonal/>
    </border>
    <border>
      <left style="thin">
        <color indexed="64"/>
      </left>
      <right style="thin">
        <color indexed="64"/>
      </right>
      <top/>
      <bottom style="thin">
        <color indexed="22"/>
      </bottom>
      <diagonal/>
    </border>
    <border>
      <left style="thin">
        <color indexed="64"/>
      </left>
      <right/>
      <top/>
      <bottom style="thin">
        <color indexed="22"/>
      </bottom>
      <diagonal/>
    </border>
    <border>
      <left style="thin">
        <color indexed="22"/>
      </left>
      <right/>
      <top/>
      <bottom style="thin">
        <color indexed="22"/>
      </bottom>
      <diagonal/>
    </border>
    <border>
      <left style="thin">
        <color indexed="22"/>
      </left>
      <right style="thin">
        <color indexed="64"/>
      </right>
      <top/>
      <bottom style="thin">
        <color indexed="22"/>
      </bottom>
      <diagonal/>
    </border>
  </borders>
  <cellStyleXfs count="5">
    <xf numFmtId="0" fontId="0" fillId="0" borderId="0"/>
    <xf numFmtId="0" fontId="3" fillId="0" borderId="0"/>
    <xf numFmtId="0" fontId="48" fillId="0" borderId="0"/>
    <xf numFmtId="0" fontId="163" fillId="0" borderId="0" applyNumberFormat="0" applyFill="0" applyBorder="0" applyAlignment="0" applyProtection="0"/>
    <xf numFmtId="9" fontId="194" fillId="0" borderId="0" applyFont="0" applyFill="0" applyBorder="0" applyAlignment="0" applyProtection="0"/>
  </cellStyleXfs>
  <cellXfs count="1399">
    <xf numFmtId="0" fontId="0" fillId="0" borderId="0" xfId="0"/>
    <xf numFmtId="0" fontId="3" fillId="0" borderId="0" xfId="0" applyFont="1" applyAlignment="1">
      <alignment horizontal="left" vertical="center"/>
    </xf>
    <xf numFmtId="0" fontId="2" fillId="0" borderId="0" xfId="0" applyFont="1" applyAlignment="1">
      <alignment horizontal="left" vertical="center"/>
    </xf>
    <xf numFmtId="0" fontId="3" fillId="0" borderId="0" xfId="0" applyFont="1" applyAlignment="1">
      <alignment horizontal="right" vertical="center"/>
    </xf>
    <xf numFmtId="166" fontId="6" fillId="0" borderId="0" xfId="0" applyNumberFormat="1" applyFont="1" applyAlignment="1">
      <alignment horizontal="center" vertical="center"/>
    </xf>
    <xf numFmtId="0" fontId="16" fillId="0" borderId="0" xfId="0" applyFont="1" applyAlignment="1">
      <alignment horizontal="left" vertical="center"/>
    </xf>
    <xf numFmtId="0" fontId="20" fillId="0" borderId="0" xfId="0" applyFont="1" applyAlignment="1">
      <alignment horizontal="left" vertical="center"/>
    </xf>
    <xf numFmtId="0" fontId="21" fillId="0" borderId="0" xfId="0" applyFont="1" applyAlignment="1">
      <alignment horizontal="left" vertical="center"/>
    </xf>
    <xf numFmtId="0" fontId="22" fillId="0" borderId="0" xfId="0" applyFont="1" applyAlignment="1">
      <alignment horizontal="left" vertical="center"/>
    </xf>
    <xf numFmtId="3" fontId="20" fillId="0" borderId="0" xfId="0" applyNumberFormat="1" applyFont="1" applyAlignment="1">
      <alignment horizontal="right" vertical="center"/>
    </xf>
    <xf numFmtId="3" fontId="22" fillId="0" borderId="0" xfId="0" applyNumberFormat="1" applyFont="1" applyAlignment="1">
      <alignment horizontal="right" vertical="center"/>
    </xf>
    <xf numFmtId="0" fontId="20" fillId="0" borderId="0" xfId="0" applyFont="1" applyAlignment="1">
      <alignment horizontal="right" vertical="center"/>
    </xf>
    <xf numFmtId="0" fontId="22" fillId="0" borderId="0" xfId="0" applyFont="1" applyAlignment="1">
      <alignment horizontal="right" vertical="center"/>
    </xf>
    <xf numFmtId="0" fontId="19" fillId="0" borderId="5" xfId="0" applyFont="1" applyBorder="1" applyAlignment="1">
      <alignment vertical="center"/>
    </xf>
    <xf numFmtId="0" fontId="19" fillId="0" borderId="8" xfId="0" applyFont="1" applyBorder="1" applyAlignment="1">
      <alignment vertical="center"/>
    </xf>
    <xf numFmtId="0" fontId="19" fillId="0" borderId="11" xfId="0" applyFont="1" applyBorder="1" applyAlignment="1">
      <alignment vertical="center"/>
    </xf>
    <xf numFmtId="0" fontId="19" fillId="0" borderId="6" xfId="0" applyFont="1" applyBorder="1" applyAlignment="1">
      <alignment vertical="center"/>
    </xf>
    <xf numFmtId="0" fontId="19" fillId="0" borderId="3" xfId="0" applyFont="1" applyBorder="1" applyAlignment="1">
      <alignment vertical="center"/>
    </xf>
    <xf numFmtId="0" fontId="19" fillId="0" borderId="0" xfId="0" applyFont="1" applyAlignment="1">
      <alignment vertical="center"/>
    </xf>
    <xf numFmtId="0" fontId="9" fillId="0" borderId="0" xfId="0" applyFont="1" applyAlignment="1">
      <alignment vertical="center"/>
    </xf>
    <xf numFmtId="0" fontId="19" fillId="0" borderId="4" xfId="0" applyFont="1" applyBorder="1" applyAlignment="1">
      <alignment vertical="center"/>
    </xf>
    <xf numFmtId="0" fontId="19" fillId="0" borderId="9" xfId="0" applyFont="1" applyBorder="1" applyAlignment="1">
      <alignment vertical="center"/>
    </xf>
    <xf numFmtId="0" fontId="19" fillId="0" borderId="10" xfId="0" applyFont="1" applyBorder="1" applyAlignment="1">
      <alignment vertical="center"/>
    </xf>
    <xf numFmtId="0" fontId="19" fillId="0" borderId="7" xfId="0" applyFont="1" applyBorder="1" applyAlignment="1">
      <alignment horizontal="center" vertical="center"/>
    </xf>
    <xf numFmtId="0" fontId="19" fillId="0" borderId="0" xfId="0" applyFont="1" applyAlignment="1">
      <alignment horizontal="center" vertical="center"/>
    </xf>
    <xf numFmtId="0" fontId="23" fillId="0" borderId="0" xfId="0" applyFont="1" applyAlignment="1">
      <alignment vertical="center"/>
    </xf>
    <xf numFmtId="0" fontId="19" fillId="0" borderId="12" xfId="0" applyFont="1" applyBorder="1" applyAlignment="1">
      <alignment horizontal="center" vertical="center"/>
    </xf>
    <xf numFmtId="0" fontId="19" fillId="0" borderId="1" xfId="0" applyFont="1" applyBorder="1" applyAlignment="1">
      <alignment horizontal="center" vertical="center"/>
    </xf>
    <xf numFmtId="0" fontId="19" fillId="0" borderId="0" xfId="0" applyFont="1" applyAlignment="1">
      <alignment horizontal="right" vertical="center"/>
    </xf>
    <xf numFmtId="0" fontId="22" fillId="0" borderId="0" xfId="0" applyFont="1" applyAlignment="1">
      <alignment horizontal="left" vertical="top"/>
    </xf>
    <xf numFmtId="0" fontId="27" fillId="0" borderId="0" xfId="0" applyFont="1" applyAlignment="1">
      <alignment horizontal="left" vertical="center"/>
    </xf>
    <xf numFmtId="0" fontId="28" fillId="0" borderId="0" xfId="0" applyFont="1" applyAlignment="1">
      <alignment horizontal="left" vertical="center"/>
    </xf>
    <xf numFmtId="0" fontId="30" fillId="0" borderId="0" xfId="0" applyFont="1" applyAlignment="1">
      <alignment horizontal="left" vertical="center"/>
    </xf>
    <xf numFmtId="0" fontId="32" fillId="0" borderId="0" xfId="0" applyFont="1" applyAlignment="1">
      <alignment horizontal="left" vertical="center"/>
    </xf>
    <xf numFmtId="0" fontId="33" fillId="0" borderId="0" xfId="1" applyFont="1" applyAlignment="1">
      <alignment horizontal="right"/>
    </xf>
    <xf numFmtId="0" fontId="32" fillId="0" borderId="0" xfId="1" applyFont="1" applyAlignment="1">
      <alignment horizontal="right"/>
    </xf>
    <xf numFmtId="0" fontId="34" fillId="0" borderId="0" xfId="1" applyFont="1" applyAlignment="1">
      <alignment horizontal="right"/>
    </xf>
    <xf numFmtId="0" fontId="29" fillId="0" borderId="0" xfId="0" applyFont="1" applyAlignment="1">
      <alignment vertical="center"/>
    </xf>
    <xf numFmtId="0" fontId="37" fillId="0" borderId="0" xfId="0" applyFont="1" applyAlignment="1">
      <alignment vertical="center"/>
    </xf>
    <xf numFmtId="167" fontId="29" fillId="0" borderId="0" xfId="0" applyNumberFormat="1" applyFont="1" applyAlignment="1">
      <alignment vertical="center"/>
    </xf>
    <xf numFmtId="167" fontId="37" fillId="0" borderId="0" xfId="0" applyNumberFormat="1" applyFont="1" applyAlignment="1">
      <alignment vertical="center"/>
    </xf>
    <xf numFmtId="0" fontId="32" fillId="0" borderId="0" xfId="1" applyFont="1" applyAlignment="1">
      <alignment horizontal="left" vertical="center"/>
    </xf>
    <xf numFmtId="0" fontId="31" fillId="0" borderId="0" xfId="0" applyFont="1" applyAlignment="1">
      <alignment horizontal="left" vertical="center"/>
    </xf>
    <xf numFmtId="0" fontId="33" fillId="0" borderId="0" xfId="1" applyFont="1" applyAlignment="1">
      <alignment horizontal="center" vertical="center" wrapText="1"/>
    </xf>
    <xf numFmtId="0" fontId="32" fillId="0" borderId="0" xfId="1" applyFont="1" applyAlignment="1">
      <alignment horizontal="center" vertical="center" wrapText="1"/>
    </xf>
    <xf numFmtId="0" fontId="34" fillId="0" borderId="0" xfId="1" applyFont="1" applyAlignment="1">
      <alignment horizontal="center" vertical="center"/>
    </xf>
    <xf numFmtId="0" fontId="41" fillId="0" borderId="0" xfId="0" applyFont="1" applyAlignment="1">
      <alignment vertical="center"/>
    </xf>
    <xf numFmtId="0" fontId="42" fillId="0" borderId="0" xfId="0" applyFont="1" applyAlignment="1">
      <alignment vertical="center"/>
    </xf>
    <xf numFmtId="168" fontId="29" fillId="0" borderId="0" xfId="0" applyNumberFormat="1" applyFont="1" applyAlignment="1">
      <alignment vertical="center"/>
    </xf>
    <xf numFmtId="168" fontId="37" fillId="0" borderId="0" xfId="0" applyNumberFormat="1" applyFont="1" applyAlignment="1">
      <alignment vertical="center"/>
    </xf>
    <xf numFmtId="0" fontId="37" fillId="0" borderId="0" xfId="0" applyFont="1" applyAlignment="1">
      <alignment horizontal="right" vertical="center"/>
    </xf>
    <xf numFmtId="0" fontId="32" fillId="0" borderId="0" xfId="1" applyFont="1"/>
    <xf numFmtId="169" fontId="29" fillId="0" borderId="0" xfId="0" applyNumberFormat="1" applyFont="1" applyAlignment="1">
      <alignment vertical="center"/>
    </xf>
    <xf numFmtId="169" fontId="37" fillId="0" borderId="0" xfId="0" applyNumberFormat="1" applyFont="1" applyAlignment="1">
      <alignment vertical="center"/>
    </xf>
    <xf numFmtId="170" fontId="29" fillId="0" borderId="0" xfId="0" applyNumberFormat="1" applyFont="1" applyAlignment="1">
      <alignment vertical="center"/>
    </xf>
    <xf numFmtId="0" fontId="44" fillId="0" borderId="0" xfId="0" applyFont="1" applyAlignment="1">
      <alignment vertical="center"/>
    </xf>
    <xf numFmtId="0" fontId="29" fillId="0" borderId="0" xfId="0" applyFont="1" applyAlignment="1">
      <alignment horizontal="right" vertical="center"/>
    </xf>
    <xf numFmtId="0" fontId="45" fillId="0" borderId="0" xfId="0" applyFont="1" applyAlignment="1">
      <alignment vertical="center"/>
    </xf>
    <xf numFmtId="0" fontId="38" fillId="0" borderId="0" xfId="0" applyFont="1" applyAlignment="1">
      <alignment horizontal="center" vertical="center" wrapText="1"/>
    </xf>
    <xf numFmtId="4" fontId="19" fillId="0" borderId="0" xfId="0" applyNumberFormat="1" applyFont="1" applyAlignment="1">
      <alignment vertical="center"/>
    </xf>
    <xf numFmtId="0" fontId="26" fillId="0" borderId="0" xfId="0" applyFont="1" applyAlignment="1">
      <alignment vertical="center"/>
    </xf>
    <xf numFmtId="0" fontId="23" fillId="0" borderId="0" xfId="0" applyFont="1" applyAlignment="1">
      <alignment vertical="center" wrapText="1"/>
    </xf>
    <xf numFmtId="0" fontId="0" fillId="0" borderId="0" xfId="0" applyAlignment="1">
      <alignment vertical="center"/>
    </xf>
    <xf numFmtId="0" fontId="11" fillId="0" borderId="0" xfId="0" applyFont="1" applyAlignment="1">
      <alignment vertical="center"/>
    </xf>
    <xf numFmtId="4" fontId="19" fillId="0" borderId="0" xfId="0" applyNumberFormat="1" applyFont="1" applyAlignment="1">
      <alignment horizontal="center" vertical="center"/>
    </xf>
    <xf numFmtId="0" fontId="9" fillId="5" borderId="0" xfId="0" applyFont="1" applyFill="1" applyAlignment="1">
      <alignment vertical="center"/>
    </xf>
    <xf numFmtId="0" fontId="19" fillId="5" borderId="0" xfId="0" applyFont="1" applyFill="1" applyAlignment="1">
      <alignment vertical="center"/>
    </xf>
    <xf numFmtId="0" fontId="26" fillId="0" borderId="0" xfId="0" applyFont="1" applyAlignment="1">
      <alignment horizontal="right" vertical="center"/>
    </xf>
    <xf numFmtId="0" fontId="23" fillId="0" borderId="0" xfId="0" applyFont="1" applyAlignment="1">
      <alignment horizontal="right" vertical="center"/>
    </xf>
    <xf numFmtId="0" fontId="19" fillId="5" borderId="0" xfId="0" applyFont="1" applyFill="1" applyAlignment="1">
      <alignment horizontal="right" vertical="center"/>
    </xf>
    <xf numFmtId="0" fontId="11" fillId="0" borderId="0" xfId="0" applyFont="1" applyAlignment="1">
      <alignment horizontal="right" vertical="center"/>
    </xf>
    <xf numFmtId="0" fontId="29" fillId="0" borderId="0" xfId="0" applyFont="1" applyAlignment="1">
      <alignment horizontal="center" vertical="center" wrapText="1"/>
    </xf>
    <xf numFmtId="0" fontId="5" fillId="0" borderId="0" xfId="0" applyFont="1" applyAlignment="1">
      <alignment horizontal="left" vertical="center"/>
    </xf>
    <xf numFmtId="0" fontId="23" fillId="0" borderId="2" xfId="0" applyFont="1" applyBorder="1" applyAlignment="1">
      <alignment horizontal="center" vertical="center"/>
    </xf>
    <xf numFmtId="0" fontId="47" fillId="0" borderId="12" xfId="0" applyFont="1" applyBorder="1" applyAlignment="1">
      <alignment horizontal="center" vertical="center"/>
    </xf>
    <xf numFmtId="0" fontId="47" fillId="0" borderId="7" xfId="0" applyFont="1" applyBorder="1" applyAlignment="1">
      <alignment horizontal="center" vertical="center"/>
    </xf>
    <xf numFmtId="0" fontId="47" fillId="0" borderId="2" xfId="0" applyFont="1" applyBorder="1" applyAlignment="1">
      <alignment horizontal="center" vertical="center"/>
    </xf>
    <xf numFmtId="0" fontId="52" fillId="0" borderId="0" xfId="0" applyFont="1" applyAlignment="1">
      <alignment horizontal="right" vertical="center"/>
    </xf>
    <xf numFmtId="0" fontId="54" fillId="0" borderId="0" xfId="0" applyFont="1" applyAlignment="1">
      <alignment horizontal="left" vertical="center"/>
    </xf>
    <xf numFmtId="0" fontId="2" fillId="0" borderId="6" xfId="0" applyFont="1" applyBorder="1" applyAlignment="1">
      <alignment horizontal="left" vertical="center"/>
    </xf>
    <xf numFmtId="0" fontId="3" fillId="0" borderId="4" xfId="0" applyFont="1" applyBorder="1" applyAlignment="1">
      <alignment horizontal="left" vertical="center"/>
    </xf>
    <xf numFmtId="0" fontId="3" fillId="0" borderId="9" xfId="0" applyFont="1" applyBorder="1" applyAlignment="1">
      <alignment horizontal="left" vertical="center"/>
    </xf>
    <xf numFmtId="0" fontId="3" fillId="0" borderId="5" xfId="0" applyFont="1" applyBorder="1" applyAlignment="1">
      <alignment horizontal="left" vertical="center"/>
    </xf>
    <xf numFmtId="0" fontId="3" fillId="0" borderId="10" xfId="0" applyFont="1" applyBorder="1" applyAlignment="1">
      <alignment horizontal="right" vertical="center"/>
    </xf>
    <xf numFmtId="0" fontId="3" fillId="0" borderId="5" xfId="1" applyBorder="1" applyAlignment="1">
      <alignment horizontal="left" vertical="center"/>
    </xf>
    <xf numFmtId="0" fontId="3" fillId="0" borderId="10" xfId="0" applyFont="1" applyBorder="1" applyAlignment="1">
      <alignment horizontal="left" vertical="center"/>
    </xf>
    <xf numFmtId="0" fontId="3" fillId="0" borderId="3" xfId="0" applyFont="1" applyBorder="1" applyAlignment="1">
      <alignment horizontal="left" vertical="center"/>
    </xf>
    <xf numFmtId="0" fontId="57" fillId="0" borderId="0" xfId="0" applyFont="1" applyAlignment="1">
      <alignment horizontal="left" vertical="center"/>
    </xf>
    <xf numFmtId="164" fontId="57" fillId="0" borderId="0" xfId="0" applyNumberFormat="1" applyFont="1" applyAlignment="1">
      <alignment vertical="center"/>
    </xf>
    <xf numFmtId="0" fontId="2" fillId="5" borderId="6" xfId="0" applyFont="1" applyFill="1" applyBorder="1" applyAlignment="1">
      <alignment horizontal="left" vertical="center"/>
    </xf>
    <xf numFmtId="0" fontId="3" fillId="5" borderId="4" xfId="0" applyFont="1" applyFill="1" applyBorder="1" applyAlignment="1">
      <alignment horizontal="left" vertical="center"/>
    </xf>
    <xf numFmtId="0" fontId="3" fillId="5" borderId="9" xfId="0" applyFont="1" applyFill="1" applyBorder="1" applyAlignment="1">
      <alignment horizontal="left" vertical="center"/>
    </xf>
    <xf numFmtId="0" fontId="3" fillId="0" borderId="0" xfId="0" applyFont="1" applyAlignment="1">
      <alignment horizontal="left" vertical="center" wrapText="1"/>
    </xf>
    <xf numFmtId="0" fontId="5" fillId="0" borderId="5" xfId="0" applyFont="1" applyBorder="1" applyAlignment="1">
      <alignment horizontal="left" vertical="center"/>
    </xf>
    <xf numFmtId="0" fontId="3" fillId="0" borderId="0" xfId="0" applyFont="1" applyAlignment="1">
      <alignment horizontal="center" vertical="center"/>
    </xf>
    <xf numFmtId="164" fontId="6" fillId="0" borderId="10" xfId="0" applyNumberFormat="1" applyFont="1" applyBorder="1" applyAlignment="1">
      <alignment horizontal="center" vertical="center"/>
    </xf>
    <xf numFmtId="0" fontId="6" fillId="0" borderId="0" xfId="0" applyFont="1" applyAlignment="1">
      <alignment horizontal="center" vertical="center"/>
    </xf>
    <xf numFmtId="0" fontId="5" fillId="0" borderId="5" xfId="0" quotePrefix="1" applyFont="1" applyBorder="1" applyAlignment="1">
      <alignment horizontal="left" vertical="center"/>
    </xf>
    <xf numFmtId="165" fontId="14" fillId="0" borderId="0" xfId="0" applyNumberFormat="1" applyFont="1" applyAlignment="1">
      <alignment horizontal="center" vertical="center"/>
    </xf>
    <xf numFmtId="0" fontId="5" fillId="0" borderId="0" xfId="0" applyFont="1" applyAlignment="1">
      <alignment horizontal="right" vertical="center"/>
    </xf>
    <xf numFmtId="165" fontId="14" fillId="0" borderId="10" xfId="0" applyNumberFormat="1" applyFont="1" applyBorder="1" applyAlignment="1">
      <alignment horizontal="center" vertical="center"/>
    </xf>
    <xf numFmtId="0" fontId="15" fillId="0" borderId="0" xfId="0" applyFont="1" applyAlignment="1">
      <alignment horizontal="left" vertical="center"/>
    </xf>
    <xf numFmtId="165" fontId="14" fillId="0" borderId="11" xfId="0" applyNumberFormat="1" applyFont="1" applyBorder="1" applyAlignment="1">
      <alignment horizontal="center" vertical="center"/>
    </xf>
    <xf numFmtId="0" fontId="5" fillId="5" borderId="5" xfId="0" applyFont="1" applyFill="1" applyBorder="1" applyAlignment="1">
      <alignment horizontal="left" vertical="center"/>
    </xf>
    <xf numFmtId="0" fontId="3" fillId="5" borderId="0" xfId="0" applyFont="1" applyFill="1" applyAlignment="1">
      <alignment horizontal="left" vertical="center"/>
    </xf>
    <xf numFmtId="0" fontId="3" fillId="5" borderId="10" xfId="0" applyFont="1" applyFill="1" applyBorder="1" applyAlignment="1">
      <alignment horizontal="left" vertical="center"/>
    </xf>
    <xf numFmtId="0" fontId="5" fillId="5" borderId="6" xfId="0" applyFont="1" applyFill="1" applyBorder="1" applyAlignment="1">
      <alignment horizontal="left" vertical="center"/>
    </xf>
    <xf numFmtId="0" fontId="5" fillId="0" borderId="8" xfId="0" applyFont="1" applyBorder="1" applyAlignment="1">
      <alignment horizontal="left" vertical="center"/>
    </xf>
    <xf numFmtId="0" fontId="3" fillId="0" borderId="3" xfId="0" applyFont="1" applyBorder="1" applyAlignment="1">
      <alignment horizontal="right" vertical="center"/>
    </xf>
    <xf numFmtId="166" fontId="14" fillId="0" borderId="11" xfId="0" applyNumberFormat="1" applyFont="1" applyBorder="1" applyAlignment="1">
      <alignment horizontal="center" vertical="center"/>
    </xf>
    <xf numFmtId="0" fontId="20" fillId="0" borderId="10" xfId="0" applyFont="1" applyBorder="1" applyAlignment="1">
      <alignment horizontal="left" vertical="center"/>
    </xf>
    <xf numFmtId="0" fontId="17" fillId="0" borderId="0" xfId="0" applyFont="1" applyAlignment="1">
      <alignment horizontal="right" vertical="center"/>
    </xf>
    <xf numFmtId="0" fontId="2" fillId="0" borderId="5" xfId="0" applyFont="1" applyBorder="1" applyAlignment="1">
      <alignment horizontal="left" vertical="center"/>
    </xf>
    <xf numFmtId="0" fontId="17" fillId="0" borderId="0" xfId="0" applyFont="1" applyAlignment="1">
      <alignment horizontal="right"/>
    </xf>
    <xf numFmtId="166" fontId="14" fillId="0" borderId="10" xfId="0" applyNumberFormat="1" applyFont="1" applyBorder="1" applyAlignment="1">
      <alignment horizontal="center" vertical="center"/>
    </xf>
    <xf numFmtId="166" fontId="6" fillId="0" borderId="10" xfId="0" applyNumberFormat="1" applyFont="1" applyBorder="1" applyAlignment="1">
      <alignment horizontal="center" vertical="center"/>
    </xf>
    <xf numFmtId="0" fontId="16" fillId="0" borderId="0" xfId="0" applyFont="1" applyAlignment="1">
      <alignment horizontal="right" vertical="center"/>
    </xf>
    <xf numFmtId="0" fontId="3" fillId="0" borderId="8" xfId="0" applyFont="1" applyBorder="1" applyAlignment="1">
      <alignment horizontal="left" vertical="center"/>
    </xf>
    <xf numFmtId="0" fontId="5" fillId="0" borderId="3" xfId="0" applyFont="1" applyBorder="1" applyAlignment="1">
      <alignment horizontal="right" vertical="center"/>
    </xf>
    <xf numFmtId="0" fontId="6" fillId="0" borderId="11" xfId="0" applyFont="1" applyBorder="1" applyAlignment="1">
      <alignment horizontal="center" vertical="center"/>
    </xf>
    <xf numFmtId="0" fontId="6" fillId="0" borderId="0" xfId="0" applyFont="1" applyAlignment="1">
      <alignment horizontal="left" vertical="center"/>
    </xf>
    <xf numFmtId="166" fontId="6" fillId="0" borderId="11" xfId="0" applyNumberFormat="1" applyFont="1" applyBorder="1" applyAlignment="1">
      <alignment horizontal="center" vertical="center"/>
    </xf>
    <xf numFmtId="0" fontId="58" fillId="0" borderId="0" xfId="0" applyFont="1" applyAlignment="1">
      <alignment horizontal="left" vertical="center"/>
    </xf>
    <xf numFmtId="0" fontId="58" fillId="0" borderId="0" xfId="0" applyFont="1" applyAlignment="1">
      <alignment vertical="center"/>
    </xf>
    <xf numFmtId="0" fontId="59" fillId="0" borderId="0" xfId="0" applyFont="1" applyAlignment="1">
      <alignment horizontal="left" vertical="center"/>
    </xf>
    <xf numFmtId="0" fontId="59" fillId="0" borderId="0" xfId="0" applyFont="1" applyAlignment="1">
      <alignment vertical="center"/>
    </xf>
    <xf numFmtId="0" fontId="56" fillId="0" borderId="0" xfId="0" applyFont="1" applyAlignment="1">
      <alignment vertical="center"/>
    </xf>
    <xf numFmtId="0" fontId="59" fillId="0" borderId="0" xfId="0" applyFont="1" applyAlignment="1">
      <alignment vertical="center" wrapText="1"/>
    </xf>
    <xf numFmtId="0" fontId="55" fillId="0" borderId="0" xfId="0" applyFont="1" applyAlignment="1">
      <alignment vertical="center"/>
    </xf>
    <xf numFmtId="0" fontId="61" fillId="0" borderId="0" xfId="0" applyFont="1" applyAlignment="1">
      <alignment horizontal="left" vertical="center"/>
    </xf>
    <xf numFmtId="0" fontId="62" fillId="0" borderId="0" xfId="0" applyFont="1" applyAlignment="1">
      <alignment horizontal="right" vertical="center"/>
    </xf>
    <xf numFmtId="0" fontId="61" fillId="0" borderId="0" xfId="0" applyFont="1" applyAlignment="1">
      <alignment horizontal="right" vertical="center"/>
    </xf>
    <xf numFmtId="0" fontId="62" fillId="0" borderId="0" xfId="0" applyFont="1" applyAlignment="1">
      <alignment horizontal="left" vertical="center"/>
    </xf>
    <xf numFmtId="0" fontId="63" fillId="0" borderId="0" xfId="0" applyFont="1" applyAlignment="1">
      <alignment vertical="center"/>
    </xf>
    <xf numFmtId="0" fontId="47" fillId="0" borderId="0" xfId="0" applyFont="1" applyAlignment="1">
      <alignment vertical="center"/>
    </xf>
    <xf numFmtId="0" fontId="19" fillId="5" borderId="0" xfId="0" applyFont="1" applyFill="1" applyAlignment="1">
      <alignment horizontal="left" vertical="center"/>
    </xf>
    <xf numFmtId="0" fontId="0" fillId="0" borderId="0" xfId="0" applyAlignment="1">
      <alignment horizontal="left"/>
    </xf>
    <xf numFmtId="0" fontId="0" fillId="6" borderId="0" xfId="0" applyFill="1"/>
    <xf numFmtId="0" fontId="70" fillId="5" borderId="0" xfId="0" applyFont="1" applyFill="1" applyAlignment="1">
      <alignment vertical="center"/>
    </xf>
    <xf numFmtId="0" fontId="65" fillId="6" borderId="0" xfId="0" applyFont="1" applyFill="1"/>
    <xf numFmtId="0" fontId="67" fillId="6" borderId="0" xfId="0" applyFont="1" applyFill="1"/>
    <xf numFmtId="0" fontId="19" fillId="0" borderId="0" xfId="0" applyFont="1" applyAlignment="1">
      <alignment horizontal="left" vertical="center"/>
    </xf>
    <xf numFmtId="0" fontId="71" fillId="6" borderId="0" xfId="0" applyFont="1" applyFill="1"/>
    <xf numFmtId="171" fontId="6" fillId="0" borderId="0" xfId="0" applyNumberFormat="1" applyFont="1" applyAlignment="1">
      <alignment horizontal="center" vertical="center"/>
    </xf>
    <xf numFmtId="0" fontId="0" fillId="8" borderId="0" xfId="0" applyFill="1"/>
    <xf numFmtId="0" fontId="65" fillId="8" borderId="0" xfId="0" applyFont="1" applyFill="1"/>
    <xf numFmtId="0" fontId="14" fillId="0" borderId="10" xfId="0" applyFont="1" applyBorder="1" applyAlignment="1">
      <alignment horizontal="center" vertical="center"/>
    </xf>
    <xf numFmtId="0" fontId="29" fillId="0" borderId="0" xfId="0" applyFont="1" applyAlignment="1">
      <alignment horizontal="left" vertical="center"/>
    </xf>
    <xf numFmtId="0" fontId="72" fillId="0" borderId="0" xfId="0" applyFont="1" applyAlignment="1">
      <alignment horizontal="left" vertical="center"/>
    </xf>
    <xf numFmtId="0" fontId="29" fillId="9" borderId="0" xfId="0" applyFont="1" applyFill="1" applyAlignment="1">
      <alignment vertical="center"/>
    </xf>
    <xf numFmtId="0" fontId="23" fillId="5" borderId="0" xfId="0" applyFont="1" applyFill="1" applyAlignment="1">
      <alignment vertical="center"/>
    </xf>
    <xf numFmtId="0" fontId="29" fillId="5" borderId="0" xfId="0" applyFont="1" applyFill="1" applyAlignment="1">
      <alignment vertical="center"/>
    </xf>
    <xf numFmtId="0" fontId="29" fillId="0" borderId="4" xfId="0" applyFont="1" applyBorder="1" applyAlignment="1">
      <alignment vertical="center"/>
    </xf>
    <xf numFmtId="0" fontId="29" fillId="0" borderId="8" xfId="0" applyFont="1" applyBorder="1" applyAlignment="1">
      <alignment vertical="center"/>
    </xf>
    <xf numFmtId="0" fontId="29" fillId="0" borderId="3" xfId="0" applyFont="1" applyBorder="1" applyAlignment="1">
      <alignment vertical="center"/>
    </xf>
    <xf numFmtId="0" fontId="63" fillId="5" borderId="0" xfId="0" applyFont="1" applyFill="1" applyAlignment="1">
      <alignment vertical="center"/>
    </xf>
    <xf numFmtId="0" fontId="29" fillId="0" borderId="6" xfId="0" applyFont="1" applyBorder="1" applyAlignment="1">
      <alignment vertical="center"/>
    </xf>
    <xf numFmtId="0" fontId="29" fillId="0" borderId="9" xfId="0" applyFont="1" applyBorder="1" applyAlignment="1">
      <alignment vertical="center"/>
    </xf>
    <xf numFmtId="0" fontId="29" fillId="0" borderId="5" xfId="0" applyFont="1" applyBorder="1" applyAlignment="1">
      <alignment vertical="center"/>
    </xf>
    <xf numFmtId="0" fontId="29" fillId="0" borderId="10" xfId="0" applyFont="1" applyBorder="1" applyAlignment="1">
      <alignment vertical="center"/>
    </xf>
    <xf numFmtId="0" fontId="29" fillId="0" borderId="11" xfId="0" applyFont="1" applyBorder="1" applyAlignment="1">
      <alignment vertical="center"/>
    </xf>
    <xf numFmtId="166" fontId="74" fillId="0" borderId="0" xfId="0" applyNumberFormat="1" applyFont="1" applyAlignment="1">
      <alignment horizontal="left" vertical="center"/>
    </xf>
    <xf numFmtId="0" fontId="74" fillId="0" borderId="0" xfId="0" applyFont="1" applyAlignment="1">
      <alignment horizontal="left" vertical="center"/>
    </xf>
    <xf numFmtId="0" fontId="0" fillId="5" borderId="0" xfId="0" applyFill="1" applyAlignment="1">
      <alignment vertical="center"/>
    </xf>
    <xf numFmtId="0" fontId="11" fillId="5" borderId="0" xfId="0" applyFont="1" applyFill="1" applyAlignment="1">
      <alignment vertical="center"/>
    </xf>
    <xf numFmtId="0" fontId="47" fillId="5" borderId="0" xfId="0" applyFont="1" applyFill="1" applyAlignment="1">
      <alignment vertical="center"/>
    </xf>
    <xf numFmtId="0" fontId="44" fillId="5" borderId="0" xfId="0" applyFont="1" applyFill="1" applyAlignment="1">
      <alignment vertical="center"/>
    </xf>
    <xf numFmtId="0" fontId="47" fillId="0" borderId="3" xfId="0" applyFont="1" applyBorder="1" applyAlignment="1">
      <alignment vertical="center"/>
    </xf>
    <xf numFmtId="0" fontId="78" fillId="0" borderId="2" xfId="0" applyFont="1" applyBorder="1" applyAlignment="1">
      <alignment horizontal="center" vertical="center"/>
    </xf>
    <xf numFmtId="0" fontId="47" fillId="0" borderId="1" xfId="0" applyFont="1" applyBorder="1" applyAlignment="1">
      <alignment horizontal="center" vertical="center"/>
    </xf>
    <xf numFmtId="0" fontId="47" fillId="0" borderId="0" xfId="0" applyFont="1" applyAlignment="1">
      <alignment horizontal="center" vertical="center"/>
    </xf>
    <xf numFmtId="169" fontId="47" fillId="0" borderId="0" xfId="0" applyNumberFormat="1" applyFont="1" applyAlignment="1">
      <alignment vertical="center"/>
    </xf>
    <xf numFmtId="169" fontId="47" fillId="0" borderId="4" xfId="0" applyNumberFormat="1" applyFont="1" applyBorder="1" applyAlignment="1">
      <alignment vertical="center"/>
    </xf>
    <xf numFmtId="0" fontId="21" fillId="5" borderId="0" xfId="0" applyFont="1" applyFill="1" applyAlignment="1">
      <alignment vertical="center"/>
    </xf>
    <xf numFmtId="0" fontId="38" fillId="5" borderId="0" xfId="0" applyFont="1" applyFill="1" applyAlignment="1">
      <alignment vertical="center"/>
    </xf>
    <xf numFmtId="0" fontId="80" fillId="10" borderId="0" xfId="0" applyFont="1" applyFill="1" applyAlignment="1">
      <alignment vertical="center"/>
    </xf>
    <xf numFmtId="0" fontId="81" fillId="10" borderId="0" xfId="0" applyFont="1" applyFill="1" applyAlignment="1">
      <alignment vertical="center"/>
    </xf>
    <xf numFmtId="0" fontId="82" fillId="10" borderId="0" xfId="0" applyFont="1" applyFill="1" applyAlignment="1">
      <alignment vertical="center"/>
    </xf>
    <xf numFmtId="0" fontId="66" fillId="5" borderId="0" xfId="0" applyFont="1" applyFill="1" applyAlignment="1">
      <alignment vertical="center"/>
    </xf>
    <xf numFmtId="0" fontId="5" fillId="0" borderId="0" xfId="0" applyFont="1"/>
    <xf numFmtId="0" fontId="37" fillId="0" borderId="0" xfId="0" applyFont="1" applyAlignment="1">
      <alignment vertical="center" wrapText="1"/>
    </xf>
    <xf numFmtId="0" fontId="37" fillId="0" borderId="0" xfId="0" applyFont="1" applyAlignment="1">
      <alignment vertical="top"/>
    </xf>
    <xf numFmtId="0" fontId="29" fillId="0" borderId="0" xfId="0" applyFont="1" applyAlignment="1">
      <alignment vertical="top"/>
    </xf>
    <xf numFmtId="0" fontId="44" fillId="0" borderId="0" xfId="0" applyFont="1" applyAlignment="1">
      <alignment vertical="top"/>
    </xf>
    <xf numFmtId="0" fontId="9" fillId="0" borderId="0" xfId="0" applyFont="1" applyAlignment="1">
      <alignment horizontal="left" vertical="center"/>
    </xf>
    <xf numFmtId="0" fontId="44" fillId="0" borderId="0" xfId="0" applyFont="1" applyAlignment="1">
      <alignment horizontal="left" vertical="top"/>
    </xf>
    <xf numFmtId="0" fontId="44" fillId="0" borderId="0" xfId="0" applyFont="1"/>
    <xf numFmtId="0" fontId="19" fillId="9" borderId="0" xfId="0" applyFont="1" applyFill="1" applyAlignment="1">
      <alignment vertical="center"/>
    </xf>
    <xf numFmtId="169" fontId="47" fillId="0" borderId="3" xfId="0" applyNumberFormat="1" applyFont="1" applyBorder="1" applyAlignment="1">
      <alignment vertical="center"/>
    </xf>
    <xf numFmtId="0" fontId="79" fillId="10" borderId="0" xfId="0" applyFont="1" applyFill="1" applyAlignment="1">
      <alignment vertical="center"/>
    </xf>
    <xf numFmtId="4" fontId="47" fillId="0" borderId="0" xfId="0" applyNumberFormat="1" applyFont="1" applyAlignment="1">
      <alignment vertical="center"/>
    </xf>
    <xf numFmtId="4" fontId="47" fillId="0" borderId="0" xfId="0" applyNumberFormat="1" applyFont="1" applyAlignment="1">
      <alignment horizontal="center" vertical="center"/>
    </xf>
    <xf numFmtId="0" fontId="21" fillId="9" borderId="0" xfId="0" applyFont="1" applyFill="1" applyAlignment="1">
      <alignment vertical="center"/>
    </xf>
    <xf numFmtId="0" fontId="61" fillId="9" borderId="0" xfId="0" applyFont="1" applyFill="1" applyAlignment="1">
      <alignment horizontal="left" vertical="center"/>
    </xf>
    <xf numFmtId="0" fontId="61" fillId="9" borderId="7" xfId="0" applyFont="1" applyFill="1" applyBorder="1" applyAlignment="1">
      <alignment horizontal="left" vertical="center"/>
    </xf>
    <xf numFmtId="0" fontId="60" fillId="9" borderId="0" xfId="0" applyFont="1" applyFill="1" applyAlignment="1">
      <alignment vertical="center"/>
    </xf>
    <xf numFmtId="0" fontId="61" fillId="9" borderId="12" xfId="0" applyFont="1" applyFill="1" applyBorder="1" applyAlignment="1">
      <alignment horizontal="left" vertical="center"/>
    </xf>
    <xf numFmtId="0" fontId="63" fillId="9" borderId="0" xfId="0" applyFont="1" applyFill="1" applyAlignment="1">
      <alignment vertical="center"/>
    </xf>
    <xf numFmtId="0" fontId="63" fillId="9" borderId="0" xfId="0" applyFont="1" applyFill="1" applyAlignment="1">
      <alignment horizontal="right" vertical="center"/>
    </xf>
    <xf numFmtId="0" fontId="44" fillId="9" borderId="0" xfId="0" applyFont="1" applyFill="1" applyAlignment="1">
      <alignment vertical="center"/>
    </xf>
    <xf numFmtId="0" fontId="61" fillId="9" borderId="1" xfId="0" applyFont="1" applyFill="1" applyBorder="1" applyAlignment="1">
      <alignment horizontal="left" vertical="center"/>
    </xf>
    <xf numFmtId="0" fontId="30" fillId="9" borderId="0" xfId="0" applyFont="1" applyFill="1" applyAlignment="1">
      <alignment vertical="center"/>
    </xf>
    <xf numFmtId="0" fontId="19" fillId="9" borderId="0" xfId="0" applyFont="1" applyFill="1" applyAlignment="1">
      <alignment horizontal="right" vertical="center"/>
    </xf>
    <xf numFmtId="0" fontId="58" fillId="9" borderId="0" xfId="0" applyFont="1" applyFill="1" applyAlignment="1">
      <alignment vertical="center"/>
    </xf>
    <xf numFmtId="0" fontId="86" fillId="9" borderId="0" xfId="0" applyFont="1" applyFill="1" applyAlignment="1">
      <alignment vertical="center"/>
    </xf>
    <xf numFmtId="0" fontId="29" fillId="9" borderId="0" xfId="0" quotePrefix="1" applyFont="1" applyFill="1" applyAlignment="1">
      <alignment vertical="center"/>
    </xf>
    <xf numFmtId="0" fontId="77" fillId="9" borderId="0" xfId="0" applyFont="1" applyFill="1" applyAlignment="1">
      <alignment vertical="center"/>
    </xf>
    <xf numFmtId="0" fontId="41" fillId="9" borderId="0" xfId="0" applyFont="1" applyFill="1" applyAlignment="1">
      <alignment vertical="center"/>
    </xf>
    <xf numFmtId="0" fontId="51" fillId="9" borderId="0" xfId="0" applyFont="1" applyFill="1" applyAlignment="1">
      <alignment vertical="center"/>
    </xf>
    <xf numFmtId="9" fontId="51" fillId="9" borderId="0" xfId="0" quotePrefix="1" applyNumberFormat="1" applyFont="1" applyFill="1" applyAlignment="1">
      <alignment vertical="center"/>
    </xf>
    <xf numFmtId="0" fontId="37" fillId="9" borderId="7" xfId="0" applyFont="1" applyFill="1" applyBorder="1" applyAlignment="1">
      <alignment vertical="center"/>
    </xf>
    <xf numFmtId="0" fontId="29" fillId="9" borderId="12" xfId="0" applyFont="1" applyFill="1" applyBorder="1" applyAlignment="1">
      <alignment vertical="center"/>
    </xf>
    <xf numFmtId="0" fontId="29" fillId="9" borderId="1" xfId="0" applyFont="1" applyFill="1" applyBorder="1" applyAlignment="1">
      <alignment vertical="center"/>
    </xf>
    <xf numFmtId="0" fontId="29" fillId="0" borderId="0" xfId="0" applyFont="1"/>
    <xf numFmtId="0" fontId="37" fillId="0" borderId="0" xfId="0" applyFont="1"/>
    <xf numFmtId="0" fontId="32" fillId="0" borderId="0" xfId="0" applyFont="1"/>
    <xf numFmtId="0" fontId="30" fillId="0" borderId="0" xfId="0" applyFont="1"/>
    <xf numFmtId="0" fontId="87" fillId="0" borderId="0" xfId="0" applyFont="1" applyAlignment="1">
      <alignment vertical="center" wrapText="1"/>
    </xf>
    <xf numFmtId="0" fontId="9" fillId="0" borderId="0" xfId="0" applyFont="1"/>
    <xf numFmtId="0" fontId="29" fillId="0" borderId="1" xfId="0" applyFont="1" applyBorder="1"/>
    <xf numFmtId="0" fontId="29" fillId="0" borderId="1" xfId="0" applyFont="1" applyBorder="1" applyAlignment="1">
      <alignment vertical="center"/>
    </xf>
    <xf numFmtId="0" fontId="29" fillId="0" borderId="1" xfId="0" applyFont="1" applyBorder="1" applyAlignment="1">
      <alignment vertical="center" wrapText="1"/>
    </xf>
    <xf numFmtId="0" fontId="37" fillId="0" borderId="7" xfId="0" applyFont="1" applyBorder="1" applyAlignment="1">
      <alignment vertical="center" wrapText="1"/>
    </xf>
    <xf numFmtId="0" fontId="37" fillId="0" borderId="6" xfId="0" applyFont="1" applyBorder="1" applyAlignment="1">
      <alignment vertical="center" wrapText="1"/>
    </xf>
    <xf numFmtId="0" fontId="29" fillId="0" borderId="8" xfId="0" applyFont="1" applyBorder="1"/>
    <xf numFmtId="0" fontId="37" fillId="0" borderId="9" xfId="0" applyFont="1" applyBorder="1" applyAlignment="1">
      <alignment vertical="center" wrapText="1"/>
    </xf>
    <xf numFmtId="0" fontId="29" fillId="0" borderId="11" xfId="0" applyFont="1" applyBorder="1"/>
    <xf numFmtId="0" fontId="37" fillId="0" borderId="11" xfId="0" applyFont="1" applyBorder="1"/>
    <xf numFmtId="0" fontId="84" fillId="0" borderId="0" xfId="0" applyFont="1"/>
    <xf numFmtId="14" fontId="29" fillId="0" borderId="0" xfId="0" applyNumberFormat="1" applyFont="1"/>
    <xf numFmtId="0" fontId="0" fillId="0" borderId="7" xfId="0" applyBorder="1"/>
    <xf numFmtId="0" fontId="0" fillId="0" borderId="12" xfId="0" applyBorder="1"/>
    <xf numFmtId="0" fontId="0" fillId="0" borderId="1" xfId="0" applyBorder="1"/>
    <xf numFmtId="0" fontId="0" fillId="0" borderId="14" xfId="0" applyBorder="1"/>
    <xf numFmtId="0" fontId="0" fillId="0" borderId="7" xfId="0" applyBorder="1" applyAlignment="1">
      <alignment horizontal="center"/>
    </xf>
    <xf numFmtId="0" fontId="0" fillId="0" borderId="12" xfId="0" applyBorder="1" applyAlignment="1">
      <alignment horizontal="center"/>
    </xf>
    <xf numFmtId="0" fontId="0" fillId="0" borderId="8" xfId="0" applyBorder="1"/>
    <xf numFmtId="0" fontId="3" fillId="0" borderId="1" xfId="0" applyFont="1" applyBorder="1" applyAlignment="1">
      <alignment horizontal="center"/>
    </xf>
    <xf numFmtId="0" fontId="0" fillId="0" borderId="1" xfId="0" applyBorder="1" applyAlignment="1">
      <alignment horizontal="center"/>
    </xf>
    <xf numFmtId="3" fontId="0" fillId="0" borderId="12" xfId="0" applyNumberFormat="1" applyBorder="1" applyAlignment="1">
      <alignment horizontal="center"/>
    </xf>
    <xf numFmtId="3" fontId="0" fillId="0" borderId="1" xfId="0" applyNumberFormat="1" applyBorder="1" applyAlignment="1">
      <alignment horizontal="center"/>
    </xf>
    <xf numFmtId="0" fontId="12" fillId="0" borderId="0" xfId="0" applyFont="1"/>
    <xf numFmtId="0" fontId="0" fillId="0" borderId="6" xfId="0" applyBorder="1"/>
    <xf numFmtId="0" fontId="0" fillId="0" borderId="4" xfId="0" applyBorder="1"/>
    <xf numFmtId="0" fontId="0" fillId="0" borderId="9" xfId="0" applyBorder="1"/>
    <xf numFmtId="0" fontId="0" fillId="0" borderId="5" xfId="0" applyBorder="1"/>
    <xf numFmtId="0" fontId="0" fillId="0" borderId="9" xfId="0" applyBorder="1" applyAlignment="1">
      <alignment horizontal="center"/>
    </xf>
    <xf numFmtId="0" fontId="0" fillId="0" borderId="10" xfId="0" applyBorder="1" applyAlignment="1">
      <alignment horizontal="center"/>
    </xf>
    <xf numFmtId="0" fontId="0" fillId="0" borderId="3" xfId="0" applyBorder="1"/>
    <xf numFmtId="0" fontId="0" fillId="0" borderId="11" xfId="0" applyBorder="1" applyAlignment="1">
      <alignment horizontal="center"/>
    </xf>
    <xf numFmtId="0" fontId="0" fillId="0" borderId="10" xfId="0" applyBorder="1"/>
    <xf numFmtId="0" fontId="0" fillId="0" borderId="11" xfId="0" applyBorder="1"/>
    <xf numFmtId="3" fontId="0" fillId="0" borderId="7" xfId="0" applyNumberFormat="1" applyBorder="1" applyAlignment="1">
      <alignment horizontal="center"/>
    </xf>
    <xf numFmtId="0" fontId="0" fillId="0" borderId="13" xfId="0" applyBorder="1"/>
    <xf numFmtId="0" fontId="0" fillId="0" borderId="15" xfId="0" applyBorder="1"/>
    <xf numFmtId="0" fontId="0" fillId="0" borderId="2" xfId="0" applyBorder="1" applyAlignment="1">
      <alignment horizontal="center"/>
    </xf>
    <xf numFmtId="0" fontId="0" fillId="0" borderId="14" xfId="0" applyBorder="1" applyAlignment="1">
      <alignment horizontal="center"/>
    </xf>
    <xf numFmtId="0" fontId="0" fillId="0" borderId="6" xfId="0" applyBorder="1" applyAlignment="1">
      <alignment horizontal="center"/>
    </xf>
    <xf numFmtId="0" fontId="0" fillId="0" borderId="5" xfId="0" applyBorder="1" applyAlignment="1">
      <alignment horizontal="center"/>
    </xf>
    <xf numFmtId="0" fontId="0" fillId="0" borderId="8" xfId="0" applyBorder="1" applyAlignment="1">
      <alignment horizontal="center"/>
    </xf>
    <xf numFmtId="0" fontId="0" fillId="0" borderId="0" xfId="0" applyAlignment="1">
      <alignment horizontal="center"/>
    </xf>
    <xf numFmtId="0" fontId="29" fillId="0" borderId="6" xfId="0" applyFont="1" applyBorder="1"/>
    <xf numFmtId="0" fontId="29" fillId="0" borderId="9" xfId="0" applyFont="1" applyBorder="1"/>
    <xf numFmtId="0" fontId="29" fillId="0" borderId="4" xfId="0" applyFont="1" applyBorder="1"/>
    <xf numFmtId="0" fontId="37" fillId="0" borderId="4" xfId="0" applyFont="1" applyBorder="1"/>
    <xf numFmtId="0" fontId="29" fillId="0" borderId="3" xfId="0" applyFont="1" applyBorder="1"/>
    <xf numFmtId="2" fontId="29" fillId="0" borderId="0" xfId="0" applyNumberFormat="1" applyFont="1"/>
    <xf numFmtId="0" fontId="29" fillId="0" borderId="5" xfId="0" applyFont="1" applyBorder="1"/>
    <xf numFmtId="0" fontId="92" fillId="10" borderId="7" xfId="0" applyFont="1" applyFill="1" applyBorder="1"/>
    <xf numFmtId="0" fontId="92" fillId="10" borderId="12" xfId="0" applyFont="1" applyFill="1" applyBorder="1"/>
    <xf numFmtId="0" fontId="37" fillId="0" borderId="6" xfId="0" applyFont="1" applyBorder="1"/>
    <xf numFmtId="0" fontId="9" fillId="9" borderId="0" xfId="0" applyFont="1" applyFill="1" applyAlignment="1">
      <alignment vertical="center"/>
    </xf>
    <xf numFmtId="0" fontId="97" fillId="9" borderId="0" xfId="0" applyFont="1" applyFill="1" applyAlignment="1">
      <alignment vertical="center"/>
    </xf>
    <xf numFmtId="0" fontId="73" fillId="9" borderId="0" xfId="0" applyFont="1" applyFill="1" applyAlignment="1">
      <alignment vertical="center"/>
    </xf>
    <xf numFmtId="0" fontId="32" fillId="0" borderId="9" xfId="0" applyFont="1" applyBorder="1" applyAlignment="1">
      <alignment vertical="center"/>
    </xf>
    <xf numFmtId="0" fontId="32" fillId="0" borderId="5" xfId="0" applyFont="1" applyBorder="1" applyAlignment="1">
      <alignment vertical="center"/>
    </xf>
    <xf numFmtId="0" fontId="32" fillId="0" borderId="0" xfId="0" applyFont="1" applyAlignment="1">
      <alignment vertical="center"/>
    </xf>
    <xf numFmtId="0" fontId="32" fillId="0" borderId="10" xfId="0" applyFont="1" applyBorder="1" applyAlignment="1">
      <alignment vertical="center"/>
    </xf>
    <xf numFmtId="0" fontId="76" fillId="0" borderId="0" xfId="0" applyFont="1" applyAlignment="1">
      <alignment vertical="center"/>
    </xf>
    <xf numFmtId="0" fontId="33" fillId="0" borderId="0" xfId="0" applyFont="1" applyAlignment="1">
      <alignment vertical="center"/>
    </xf>
    <xf numFmtId="0" fontId="32" fillId="0" borderId="8" xfId="0" applyFont="1" applyBorder="1" applyAlignment="1">
      <alignment vertical="center"/>
    </xf>
    <xf numFmtId="0" fontId="33" fillId="0" borderId="3" xfId="0" applyFont="1" applyBorder="1" applyAlignment="1">
      <alignment vertical="center"/>
    </xf>
    <xf numFmtId="0" fontId="32" fillId="0" borderId="11" xfId="0" applyFont="1" applyBorder="1" applyAlignment="1">
      <alignment vertical="center"/>
    </xf>
    <xf numFmtId="0" fontId="32" fillId="0" borderId="4" xfId="0" applyFont="1" applyBorder="1" applyAlignment="1">
      <alignment horizontal="center" vertical="center"/>
    </xf>
    <xf numFmtId="0" fontId="32" fillId="0" borderId="3" xfId="0" applyFont="1" applyBorder="1" applyAlignment="1">
      <alignment vertical="center"/>
    </xf>
    <xf numFmtId="0" fontId="32" fillId="0" borderId="0" xfId="0" applyFont="1" applyAlignment="1">
      <alignment horizontal="right" vertical="top"/>
    </xf>
    <xf numFmtId="0" fontId="63" fillId="9" borderId="0" xfId="0" applyFont="1" applyFill="1" applyAlignment="1">
      <alignment vertical="top"/>
    </xf>
    <xf numFmtId="0" fontId="94" fillId="9" borderId="0" xfId="0" applyFont="1" applyFill="1" applyAlignment="1">
      <alignment vertical="top"/>
    </xf>
    <xf numFmtId="0" fontId="98" fillId="9" borderId="0" xfId="0" applyFont="1" applyFill="1" applyAlignment="1">
      <alignment vertical="top"/>
    </xf>
    <xf numFmtId="0" fontId="94" fillId="9" borderId="0" xfId="0" applyFont="1" applyFill="1" applyAlignment="1">
      <alignment horizontal="right" vertical="center"/>
    </xf>
    <xf numFmtId="0" fontId="37" fillId="0" borderId="4" xfId="0" applyFont="1" applyBorder="1" applyAlignment="1">
      <alignment vertical="center" wrapText="1"/>
    </xf>
    <xf numFmtId="0" fontId="29" fillId="0" borderId="8" xfId="0" applyFont="1" applyBorder="1" applyAlignment="1">
      <alignment vertical="center" wrapText="1"/>
    </xf>
    <xf numFmtId="0" fontId="30" fillId="0" borderId="0" xfId="0" applyFont="1" applyAlignment="1">
      <alignment vertical="center"/>
    </xf>
    <xf numFmtId="0" fontId="31" fillId="11" borderId="0" xfId="0" applyFont="1" applyFill="1" applyAlignment="1">
      <alignment vertical="center"/>
    </xf>
    <xf numFmtId="0" fontId="45" fillId="11" borderId="0" xfId="0" applyFont="1" applyFill="1" applyAlignment="1">
      <alignment vertical="center"/>
    </xf>
    <xf numFmtId="0" fontId="45" fillId="11" borderId="0" xfId="0" applyFont="1" applyFill="1" applyAlignment="1">
      <alignment horizontal="right" vertical="center"/>
    </xf>
    <xf numFmtId="0" fontId="45" fillId="11" borderId="0" xfId="0" applyFont="1" applyFill="1" applyAlignment="1">
      <alignment horizontal="center" vertical="center"/>
    </xf>
    <xf numFmtId="0" fontId="31" fillId="11" borderId="0" xfId="0" applyFont="1" applyFill="1" applyAlignment="1">
      <alignment horizontal="left" vertical="center"/>
    </xf>
    <xf numFmtId="0" fontId="32" fillId="11" borderId="0" xfId="0" applyFont="1" applyFill="1" applyAlignment="1">
      <alignment vertical="center"/>
    </xf>
    <xf numFmtId="0" fontId="29" fillId="11" borderId="0" xfId="0" applyFont="1" applyFill="1" applyAlignment="1">
      <alignment vertical="center"/>
    </xf>
    <xf numFmtId="0" fontId="38" fillId="11" borderId="0" xfId="0" applyFont="1" applyFill="1" applyAlignment="1">
      <alignment vertical="center"/>
    </xf>
    <xf numFmtId="0" fontId="32" fillId="0" borderId="3" xfId="0" applyFont="1" applyBorder="1" applyAlignment="1">
      <alignment horizontal="left" vertical="center"/>
    </xf>
    <xf numFmtId="0" fontId="32" fillId="0" borderId="0" xfId="0" applyFont="1" applyAlignment="1">
      <alignment horizontal="left" vertical="top" wrapText="1"/>
    </xf>
    <xf numFmtId="0" fontId="32" fillId="0" borderId="18" xfId="0" applyFont="1" applyBorder="1" applyAlignment="1">
      <alignment horizontal="left" vertical="top" wrapText="1"/>
    </xf>
    <xf numFmtId="0" fontId="98" fillId="0" borderId="0" xfId="0" applyFont="1" applyAlignment="1">
      <alignment vertical="top"/>
    </xf>
    <xf numFmtId="0" fontId="29" fillId="9" borderId="16" xfId="0" applyFont="1" applyFill="1" applyBorder="1" applyAlignment="1">
      <alignment horizontal="left" vertical="center"/>
    </xf>
    <xf numFmtId="0" fontId="32" fillId="9" borderId="16" xfId="0" applyFont="1" applyFill="1" applyBorder="1" applyAlignment="1">
      <alignment horizontal="left" vertical="center"/>
    </xf>
    <xf numFmtId="0" fontId="32" fillId="9" borderId="17" xfId="0" applyFont="1" applyFill="1" applyBorder="1" applyAlignment="1">
      <alignment horizontal="left" vertical="center" wrapText="1"/>
    </xf>
    <xf numFmtId="0" fontId="106" fillId="9" borderId="17" xfId="0" applyFont="1" applyFill="1" applyBorder="1" applyAlignment="1">
      <alignment horizontal="left" vertical="center" wrapText="1"/>
    </xf>
    <xf numFmtId="0" fontId="3" fillId="9" borderId="16" xfId="0" applyFont="1" applyFill="1" applyBorder="1" applyAlignment="1">
      <alignment horizontal="left" vertical="center" wrapText="1"/>
    </xf>
    <xf numFmtId="0" fontId="32" fillId="9" borderId="18" xfId="0" applyFont="1" applyFill="1" applyBorder="1" applyAlignment="1">
      <alignment horizontal="left" vertical="center" wrapText="1"/>
    </xf>
    <xf numFmtId="0" fontId="32" fillId="9" borderId="17" xfId="0" applyFont="1" applyFill="1" applyBorder="1" applyAlignment="1">
      <alignment horizontal="left" vertical="center"/>
    </xf>
    <xf numFmtId="0" fontId="32" fillId="9" borderId="18" xfId="0" applyFont="1" applyFill="1" applyBorder="1" applyAlignment="1">
      <alignment horizontal="left" vertical="center"/>
    </xf>
    <xf numFmtId="0" fontId="107" fillId="0" borderId="0" xfId="0" applyFont="1" applyAlignment="1">
      <alignment horizontal="left" vertical="center"/>
    </xf>
    <xf numFmtId="173" fontId="108" fillId="5" borderId="0" xfId="0" applyNumberFormat="1" applyFont="1" applyFill="1" applyAlignment="1">
      <alignment horizontal="center" vertical="center"/>
    </xf>
    <xf numFmtId="0" fontId="109" fillId="0" borderId="0" xfId="0" applyFont="1" applyAlignment="1">
      <alignment vertical="top"/>
    </xf>
    <xf numFmtId="172" fontId="109" fillId="0" borderId="0" xfId="0" applyNumberFormat="1" applyFont="1" applyAlignment="1">
      <alignment vertical="top"/>
    </xf>
    <xf numFmtId="0" fontId="110" fillId="0" borderId="4" xfId="0" applyFont="1" applyBorder="1" applyAlignment="1">
      <alignment horizontal="center" vertical="center"/>
    </xf>
    <xf numFmtId="0" fontId="83" fillId="0" borderId="0" xfId="0" applyFont="1" applyAlignment="1">
      <alignment vertical="center"/>
    </xf>
    <xf numFmtId="0" fontId="111" fillId="11" borderId="0" xfId="0" applyFont="1" applyFill="1" applyAlignment="1">
      <alignment horizontal="center" vertical="center"/>
    </xf>
    <xf numFmtId="0" fontId="111" fillId="11" borderId="0" xfId="0" applyFont="1" applyFill="1" applyAlignment="1">
      <alignment vertical="center"/>
    </xf>
    <xf numFmtId="0" fontId="83" fillId="11" borderId="0" xfId="0" applyFont="1" applyFill="1" applyAlignment="1">
      <alignment vertical="center"/>
    </xf>
    <xf numFmtId="0" fontId="110" fillId="11" borderId="0" xfId="0" applyFont="1" applyFill="1" applyAlignment="1">
      <alignment horizontal="center" vertical="center"/>
    </xf>
    <xf numFmtId="0" fontId="29" fillId="9" borderId="0" xfId="0" applyFont="1" applyFill="1"/>
    <xf numFmtId="0" fontId="30" fillId="9" borderId="0" xfId="0" applyFont="1" applyFill="1"/>
    <xf numFmtId="0" fontId="93" fillId="9" borderId="0" xfId="0" applyFont="1" applyFill="1"/>
    <xf numFmtId="0" fontId="37" fillId="9" borderId="0" xfId="0" applyFont="1" applyFill="1"/>
    <xf numFmtId="0" fontId="95" fillId="9" borderId="0" xfId="0" applyFont="1" applyFill="1"/>
    <xf numFmtId="0" fontId="99" fillId="9" borderId="0" xfId="0" applyFont="1" applyFill="1" applyAlignment="1">
      <alignment vertical="center"/>
    </xf>
    <xf numFmtId="0" fontId="30" fillId="9" borderId="0" xfId="0" applyFont="1" applyFill="1" applyAlignment="1">
      <alignment horizontal="right"/>
    </xf>
    <xf numFmtId="0" fontId="30" fillId="9" borderId="0" xfId="0" applyFont="1" applyFill="1" applyAlignment="1">
      <alignment horizontal="left"/>
    </xf>
    <xf numFmtId="0" fontId="92" fillId="9" borderId="7" xfId="0" applyFont="1" applyFill="1" applyBorder="1"/>
    <xf numFmtId="0" fontId="92" fillId="9" borderId="12" xfId="0" applyFont="1" applyFill="1" applyBorder="1"/>
    <xf numFmtId="0" fontId="92" fillId="9" borderId="1" xfId="0" applyFont="1" applyFill="1" applyBorder="1"/>
    <xf numFmtId="0" fontId="41" fillId="9" borderId="0" xfId="0" applyFont="1" applyFill="1"/>
    <xf numFmtId="0" fontId="100" fillId="9" borderId="0" xfId="0" applyFont="1" applyFill="1"/>
    <xf numFmtId="0" fontId="37" fillId="9" borderId="0" xfId="0" applyFont="1" applyFill="1" applyAlignment="1">
      <alignment vertical="center" wrapText="1"/>
    </xf>
    <xf numFmtId="0" fontId="96" fillId="9" borderId="0" xfId="0" applyFont="1" applyFill="1" applyAlignment="1">
      <alignment vertical="center" wrapText="1"/>
    </xf>
    <xf numFmtId="0" fontId="87" fillId="9" borderId="0" xfId="0" applyFont="1" applyFill="1"/>
    <xf numFmtId="0" fontId="95" fillId="9" borderId="0" xfId="0" applyFont="1" applyFill="1" applyAlignment="1">
      <alignment vertical="center"/>
    </xf>
    <xf numFmtId="0" fontId="87" fillId="9" borderId="0" xfId="0" applyFont="1" applyFill="1" applyAlignment="1">
      <alignment vertical="center" wrapText="1"/>
    </xf>
    <xf numFmtId="0" fontId="73" fillId="9" borderId="0" xfId="0" applyFont="1" applyFill="1"/>
    <xf numFmtId="0" fontId="92" fillId="9" borderId="4" xfId="0" applyFont="1" applyFill="1" applyBorder="1"/>
    <xf numFmtId="0" fontId="3" fillId="0" borderId="0" xfId="0" applyFont="1" applyAlignment="1">
      <alignment horizontal="center" vertical="center" wrapText="1"/>
    </xf>
    <xf numFmtId="0" fontId="3" fillId="9" borderId="40" xfId="0" applyFont="1" applyFill="1" applyBorder="1" applyAlignment="1">
      <alignment horizontal="left" vertical="center" wrapText="1"/>
    </xf>
    <xf numFmtId="0" fontId="3" fillId="9" borderId="41" xfId="0" applyFont="1" applyFill="1" applyBorder="1" applyAlignment="1">
      <alignment horizontal="left" vertical="center" wrapText="1"/>
    </xf>
    <xf numFmtId="0" fontId="3" fillId="9" borderId="16" xfId="0" applyFont="1" applyFill="1" applyBorder="1" applyAlignment="1">
      <alignment horizontal="left" vertical="center"/>
    </xf>
    <xf numFmtId="0" fontId="63" fillId="9" borderId="7" xfId="0" applyFont="1" applyFill="1" applyBorder="1" applyAlignment="1">
      <alignment vertical="center"/>
    </xf>
    <xf numFmtId="0" fontId="61" fillId="9" borderId="9" xfId="0" applyFont="1" applyFill="1" applyBorder="1" applyAlignment="1">
      <alignment horizontal="left" vertical="center"/>
    </xf>
    <xf numFmtId="0" fontId="63" fillId="9" borderId="12" xfId="0" applyFont="1" applyFill="1" applyBorder="1" applyAlignment="1">
      <alignment vertical="center"/>
    </xf>
    <xf numFmtId="0" fontId="61" fillId="9" borderId="10" xfId="0" applyFont="1" applyFill="1" applyBorder="1" applyAlignment="1">
      <alignment horizontal="left" vertical="center"/>
    </xf>
    <xf numFmtId="0" fontId="63" fillId="9" borderId="1" xfId="0" applyFont="1" applyFill="1" applyBorder="1" applyAlignment="1">
      <alignment vertical="center"/>
    </xf>
    <xf numFmtId="0" fontId="61" fillId="9" borderId="11" xfId="0" applyFont="1" applyFill="1" applyBorder="1" applyAlignment="1">
      <alignment horizontal="left" vertical="center"/>
    </xf>
    <xf numFmtId="0" fontId="75" fillId="9" borderId="0" xfId="0" applyFont="1" applyFill="1" applyAlignment="1">
      <alignment horizontal="left" vertical="center"/>
    </xf>
    <xf numFmtId="0" fontId="5" fillId="3" borderId="8" xfId="0" applyFont="1" applyFill="1" applyBorder="1" applyAlignment="1">
      <alignment horizontal="left" vertical="center"/>
    </xf>
    <xf numFmtId="164" fontId="14" fillId="0" borderId="10" xfId="0" applyNumberFormat="1" applyFont="1" applyBorder="1" applyAlignment="1">
      <alignment horizontal="center" vertical="center"/>
    </xf>
    <xf numFmtId="0" fontId="5" fillId="0" borderId="10" xfId="0" applyFont="1" applyBorder="1" applyAlignment="1">
      <alignment horizontal="left" vertical="center"/>
    </xf>
    <xf numFmtId="0" fontId="5" fillId="9" borderId="41" xfId="0" applyFont="1" applyFill="1" applyBorder="1" applyAlignment="1">
      <alignment horizontal="left" vertical="center" wrapText="1"/>
    </xf>
    <xf numFmtId="0" fontId="3" fillId="3" borderId="3" xfId="0" applyFont="1" applyFill="1" applyBorder="1" applyAlignment="1">
      <alignment horizontal="right" vertical="center"/>
    </xf>
    <xf numFmtId="0" fontId="3" fillId="3" borderId="0" xfId="0" applyFont="1" applyFill="1" applyAlignment="1">
      <alignment horizontal="right" vertical="center"/>
    </xf>
    <xf numFmtId="0" fontId="2" fillId="9" borderId="40" xfId="0" applyFont="1" applyFill="1" applyBorder="1" applyAlignment="1">
      <alignment horizontal="left" vertical="center"/>
    </xf>
    <xf numFmtId="0" fontId="19" fillId="0" borderId="3" xfId="0" applyFont="1" applyBorder="1" applyAlignment="1">
      <alignment horizontal="right" vertical="center"/>
    </xf>
    <xf numFmtId="0" fontId="19" fillId="0" borderId="0" xfId="0" applyFont="1" applyAlignment="1">
      <alignment horizontal="right"/>
    </xf>
    <xf numFmtId="0" fontId="6" fillId="0" borderId="10" xfId="0" applyFont="1" applyBorder="1" applyAlignment="1">
      <alignment horizontal="center" vertical="center"/>
    </xf>
    <xf numFmtId="0" fontId="32" fillId="0" borderId="6" xfId="0" applyFont="1" applyBorder="1" applyAlignment="1">
      <alignment vertical="center"/>
    </xf>
    <xf numFmtId="0" fontId="32" fillId="9" borderId="16" xfId="0" applyFont="1" applyFill="1" applyBorder="1" applyAlignment="1">
      <alignment horizontal="left" vertical="center" wrapText="1"/>
    </xf>
    <xf numFmtId="0" fontId="37" fillId="0" borderId="0" xfId="0" applyFont="1" applyAlignment="1">
      <alignment horizontal="left" vertical="top" wrapText="1"/>
    </xf>
    <xf numFmtId="0" fontId="37" fillId="0" borderId="0" xfId="0" applyFont="1" applyAlignment="1">
      <alignment vertical="top" wrapText="1"/>
    </xf>
    <xf numFmtId="0" fontId="19" fillId="5" borderId="0" xfId="0" applyFont="1" applyFill="1" applyAlignment="1">
      <alignment vertical="center" wrapText="1"/>
    </xf>
    <xf numFmtId="0" fontId="33" fillId="9" borderId="18" xfId="0" applyFont="1" applyFill="1" applyBorder="1" applyAlignment="1">
      <alignment horizontal="left" vertical="center" wrapText="1"/>
    </xf>
    <xf numFmtId="0" fontId="33" fillId="9" borderId="17" xfId="0" applyFont="1" applyFill="1" applyBorder="1" applyAlignment="1">
      <alignment horizontal="left" vertical="center" wrapText="1"/>
    </xf>
    <xf numFmtId="0" fontId="33" fillId="9" borderId="0" xfId="0" applyFont="1" applyFill="1" applyAlignment="1">
      <alignment horizontal="left" vertical="center"/>
    </xf>
    <xf numFmtId="0" fontId="33" fillId="9" borderId="18" xfId="0" applyFont="1" applyFill="1" applyBorder="1" applyAlignment="1">
      <alignment horizontal="left" vertical="center"/>
    </xf>
    <xf numFmtId="0" fontId="29" fillId="0" borderId="21" xfId="0" applyFont="1" applyBorder="1" applyAlignment="1">
      <alignment vertical="top"/>
    </xf>
    <xf numFmtId="0" fontId="85" fillId="9" borderId="0" xfId="0" applyFont="1" applyFill="1" applyAlignment="1">
      <alignment vertical="center"/>
    </xf>
    <xf numFmtId="0" fontId="118" fillId="9" borderId="0" xfId="0" applyFont="1" applyFill="1" applyAlignment="1">
      <alignment vertical="center"/>
    </xf>
    <xf numFmtId="0" fontId="3" fillId="0" borderId="13" xfId="0" applyFont="1" applyBorder="1" applyAlignment="1">
      <alignment horizontal="left" vertical="center"/>
    </xf>
    <xf numFmtId="168" fontId="41" fillId="0" borderId="0" xfId="0" applyNumberFormat="1" applyFont="1" applyAlignment="1">
      <alignment vertical="center"/>
    </xf>
    <xf numFmtId="0" fontId="42" fillId="0" borderId="0" xfId="0" applyFont="1" applyAlignment="1">
      <alignment horizontal="right" vertical="center"/>
    </xf>
    <xf numFmtId="168" fontId="42" fillId="0" borderId="0" xfId="0" applyNumberFormat="1" applyFont="1" applyAlignment="1">
      <alignment vertical="center"/>
    </xf>
    <xf numFmtId="170" fontId="41" fillId="0" borderId="0" xfId="0" applyNumberFormat="1" applyFont="1" applyAlignment="1">
      <alignment vertical="center"/>
    </xf>
    <xf numFmtId="169" fontId="41" fillId="0" borderId="0" xfId="0" applyNumberFormat="1" applyFont="1" applyAlignment="1">
      <alignment vertical="center"/>
    </xf>
    <xf numFmtId="167" fontId="42" fillId="0" borderId="0" xfId="0" applyNumberFormat="1" applyFont="1" applyAlignment="1">
      <alignment vertical="center"/>
    </xf>
    <xf numFmtId="169" fontId="42" fillId="0" borderId="0" xfId="0" applyNumberFormat="1" applyFont="1" applyAlignment="1">
      <alignment vertical="center"/>
    </xf>
    <xf numFmtId="167" fontId="41" fillId="0" borderId="0" xfId="0" applyNumberFormat="1" applyFont="1" applyAlignment="1">
      <alignment vertical="center"/>
    </xf>
    <xf numFmtId="0" fontId="41" fillId="9" borderId="0" xfId="0" applyFont="1" applyFill="1" applyAlignment="1">
      <alignment horizontal="left" vertical="center"/>
    </xf>
    <xf numFmtId="0" fontId="3" fillId="0" borderId="0" xfId="0" quotePrefix="1" applyFont="1" applyAlignment="1">
      <alignment horizontal="left" vertical="center"/>
    </xf>
    <xf numFmtId="0" fontId="57" fillId="0" borderId="0" xfId="0" applyFont="1"/>
    <xf numFmtId="0" fontId="3" fillId="3" borderId="5" xfId="0" applyFont="1" applyFill="1" applyBorder="1" applyAlignment="1">
      <alignment horizontal="left" vertical="center"/>
    </xf>
    <xf numFmtId="165" fontId="6" fillId="0" borderId="10" xfId="0" applyNumberFormat="1" applyFont="1" applyBorder="1" applyAlignment="1">
      <alignment horizontal="center" vertical="center"/>
    </xf>
    <xf numFmtId="3" fontId="6" fillId="0" borderId="10" xfId="0" applyNumberFormat="1" applyFont="1" applyBorder="1" applyAlignment="1">
      <alignment horizontal="center" vertical="center"/>
    </xf>
    <xf numFmtId="165" fontId="6" fillId="0" borderId="0" xfId="0" applyNumberFormat="1" applyFont="1" applyAlignment="1">
      <alignment horizontal="center" vertical="center"/>
    </xf>
    <xf numFmtId="0" fontId="120" fillId="0" borderId="0" xfId="0" applyFont="1" applyAlignment="1">
      <alignment horizontal="left" vertical="center"/>
    </xf>
    <xf numFmtId="3" fontId="14" fillId="0" borderId="10" xfId="0" applyNumberFormat="1" applyFont="1" applyBorder="1" applyAlignment="1">
      <alignment horizontal="center" vertical="center"/>
    </xf>
    <xf numFmtId="0" fontId="128" fillId="0" borderId="0" xfId="0" applyFont="1" applyAlignment="1">
      <alignment horizontal="right" vertical="center"/>
    </xf>
    <xf numFmtId="0" fontId="20" fillId="0" borderId="3" xfId="0" applyFont="1" applyBorder="1" applyAlignment="1">
      <alignment horizontal="right" vertical="center"/>
    </xf>
    <xf numFmtId="0" fontId="20" fillId="0" borderId="4" xfId="0" applyFont="1" applyBorder="1" applyAlignment="1">
      <alignment horizontal="right" vertical="center"/>
    </xf>
    <xf numFmtId="165" fontId="3" fillId="0" borderId="10" xfId="0" applyNumberFormat="1" applyFont="1" applyBorder="1" applyAlignment="1">
      <alignment horizontal="center" vertical="center"/>
    </xf>
    <xf numFmtId="174" fontId="6" fillId="0" borderId="10" xfId="0" applyNumberFormat="1" applyFont="1" applyBorder="1" applyAlignment="1">
      <alignment horizontal="center" vertical="center"/>
    </xf>
    <xf numFmtId="0" fontId="29" fillId="0" borderId="10" xfId="0" applyFont="1" applyBorder="1"/>
    <xf numFmtId="0" fontId="37" fillId="0" borderId="3" xfId="0" applyFont="1" applyBorder="1"/>
    <xf numFmtId="166" fontId="58" fillId="0" borderId="10" xfId="0" applyNumberFormat="1" applyFont="1" applyBorder="1" applyAlignment="1">
      <alignment horizontal="left" vertical="center"/>
    </xf>
    <xf numFmtId="0" fontId="16" fillId="5" borderId="0" xfId="0" applyFont="1" applyFill="1" applyAlignment="1">
      <alignment vertical="center"/>
    </xf>
    <xf numFmtId="0" fontId="131" fillId="16" borderId="0" xfId="0" applyFont="1" applyFill="1" applyAlignment="1">
      <alignment horizontal="center" vertical="center"/>
    </xf>
    <xf numFmtId="0" fontId="132" fillId="11" borderId="0" xfId="0" applyFont="1" applyFill="1" applyAlignment="1">
      <alignment horizontal="center" vertical="center"/>
    </xf>
    <xf numFmtId="0" fontId="108" fillId="11" borderId="0" xfId="0" applyFont="1" applyFill="1" applyAlignment="1">
      <alignment horizontal="center" vertical="center"/>
    </xf>
    <xf numFmtId="0" fontId="45" fillId="11" borderId="0" xfId="0" applyFont="1" applyFill="1" applyAlignment="1">
      <alignment horizontal="left" vertical="center"/>
    </xf>
    <xf numFmtId="0" fontId="104" fillId="11" borderId="0" xfId="0" applyFont="1" applyFill="1" applyAlignment="1">
      <alignment horizontal="left" vertical="center"/>
    </xf>
    <xf numFmtId="0" fontId="133" fillId="0" borderId="0" xfId="0" applyFont="1" applyAlignment="1">
      <alignment vertical="center"/>
    </xf>
    <xf numFmtId="0" fontId="30" fillId="0" borderId="3" xfId="0" applyFont="1" applyBorder="1" applyAlignment="1">
      <alignment vertical="center"/>
    </xf>
    <xf numFmtId="0" fontId="20" fillId="0" borderId="11" xfId="0" applyFont="1" applyBorder="1" applyAlignment="1">
      <alignment horizontal="left" vertical="center"/>
    </xf>
    <xf numFmtId="0" fontId="5" fillId="0" borderId="3" xfId="0" applyFont="1" applyBorder="1" applyAlignment="1">
      <alignment horizontal="left" vertical="center"/>
    </xf>
    <xf numFmtId="0" fontId="107" fillId="9" borderId="0" xfId="0" applyFont="1" applyFill="1" applyAlignment="1">
      <alignment horizontal="left" vertical="center"/>
    </xf>
    <xf numFmtId="0" fontId="92" fillId="9" borderId="0" xfId="0" applyFont="1" applyFill="1" applyAlignment="1">
      <alignment vertical="center"/>
    </xf>
    <xf numFmtId="0" fontId="134" fillId="9" borderId="0" xfId="0" applyFont="1" applyFill="1" applyAlignment="1">
      <alignment vertical="center"/>
    </xf>
    <xf numFmtId="0" fontId="92" fillId="9" borderId="7" xfId="0" applyFont="1" applyFill="1" applyBorder="1" applyAlignment="1">
      <alignment vertical="center"/>
    </xf>
    <xf numFmtId="0" fontId="92" fillId="9" borderId="12" xfId="0" applyFont="1" applyFill="1" applyBorder="1" applyAlignment="1">
      <alignment vertical="center"/>
    </xf>
    <xf numFmtId="0" fontId="92" fillId="9" borderId="1" xfId="0" applyFont="1" applyFill="1" applyBorder="1" applyAlignment="1">
      <alignment vertical="center"/>
    </xf>
    <xf numFmtId="0" fontId="135" fillId="0" borderId="0" xfId="0" applyFont="1" applyAlignment="1">
      <alignment vertical="center"/>
    </xf>
    <xf numFmtId="0" fontId="29" fillId="12" borderId="45" xfId="0" applyFont="1" applyFill="1" applyBorder="1" applyAlignment="1">
      <alignment vertical="center"/>
    </xf>
    <xf numFmtId="0" fontId="136" fillId="0" borderId="0" xfId="0" applyFont="1"/>
    <xf numFmtId="0" fontId="0" fillId="0" borderId="15" xfId="0" applyBorder="1" applyAlignment="1">
      <alignment horizontal="center"/>
    </xf>
    <xf numFmtId="0" fontId="0" fillId="0" borderId="4" xfId="0" applyBorder="1" applyAlignment="1">
      <alignment horizontal="center"/>
    </xf>
    <xf numFmtId="0" fontId="100" fillId="0" borderId="9" xfId="0" applyFont="1" applyBorder="1" applyAlignment="1">
      <alignment vertical="center" wrapText="1"/>
    </xf>
    <xf numFmtId="0" fontId="76" fillId="0" borderId="1" xfId="0" applyFont="1" applyBorder="1" applyAlignment="1">
      <alignment vertical="center"/>
    </xf>
    <xf numFmtId="0" fontId="12" fillId="0" borderId="12" xfId="0" applyFont="1" applyBorder="1" applyAlignment="1">
      <alignment horizontal="center"/>
    </xf>
    <xf numFmtId="0" fontId="12" fillId="0" borderId="1" xfId="0" applyFont="1" applyBorder="1" applyAlignment="1">
      <alignment horizontal="center"/>
    </xf>
    <xf numFmtId="0" fontId="12" fillId="0" borderId="7" xfId="0" applyFont="1" applyBorder="1" applyAlignment="1">
      <alignment horizontal="center"/>
    </xf>
    <xf numFmtId="0" fontId="12" fillId="0" borderId="4" xfId="0" applyFont="1" applyBorder="1"/>
    <xf numFmtId="0" fontId="88" fillId="0" borderId="6" xfId="0" applyFont="1" applyBorder="1"/>
    <xf numFmtId="0" fontId="88" fillId="0" borderId="8" xfId="0" applyFont="1" applyBorder="1"/>
    <xf numFmtId="0" fontId="88" fillId="0" borderId="5" xfId="0" applyFont="1" applyBorder="1"/>
    <xf numFmtId="0" fontId="3" fillId="0" borderId="6" xfId="0" applyFont="1" applyBorder="1"/>
    <xf numFmtId="0" fontId="3" fillId="0" borderId="5" xfId="0" applyFont="1" applyBorder="1"/>
    <xf numFmtId="9" fontId="0" fillId="0" borderId="10" xfId="0" applyNumberFormat="1" applyBorder="1"/>
    <xf numFmtId="0" fontId="3" fillId="0" borderId="8" xfId="0" applyFont="1" applyBorder="1"/>
    <xf numFmtId="0" fontId="7" fillId="0" borderId="6" xfId="0" applyFont="1" applyBorder="1"/>
    <xf numFmtId="0" fontId="7" fillId="0" borderId="5" xfId="0" applyFont="1" applyBorder="1"/>
    <xf numFmtId="0" fontId="5" fillId="0" borderId="0" xfId="0" applyFont="1" applyAlignment="1">
      <alignment horizontal="left"/>
    </xf>
    <xf numFmtId="0" fontId="3" fillId="0" borderId="0" xfId="0" applyFont="1"/>
    <xf numFmtId="0" fontId="92" fillId="9" borderId="0" xfId="0" applyFont="1" applyFill="1"/>
    <xf numFmtId="0" fontId="29" fillId="0" borderId="0" xfId="0" quotePrefix="1" applyFont="1" applyAlignment="1">
      <alignment horizontal="left" indent="1"/>
    </xf>
    <xf numFmtId="0" fontId="29" fillId="0" borderId="0" xfId="0" applyFont="1" applyAlignment="1">
      <alignment horizontal="left" indent="1"/>
    </xf>
    <xf numFmtId="0" fontId="29" fillId="0" borderId="6" xfId="0" applyFont="1" applyBorder="1" applyAlignment="1">
      <alignment vertical="top"/>
    </xf>
    <xf numFmtId="0" fontId="29" fillId="0" borderId="8" xfId="0" applyFont="1" applyBorder="1" applyAlignment="1">
      <alignment vertical="top"/>
    </xf>
    <xf numFmtId="0" fontId="29" fillId="0" borderId="3" xfId="0" applyFont="1" applyBorder="1" applyAlignment="1">
      <alignment vertical="top"/>
    </xf>
    <xf numFmtId="0" fontId="29" fillId="0" borderId="11" xfId="0" applyFont="1" applyBorder="1" applyAlignment="1">
      <alignment vertical="top"/>
    </xf>
    <xf numFmtId="0" fontId="29" fillId="0" borderId="7" xfId="0" quotePrefix="1" applyFont="1" applyBorder="1" applyAlignment="1">
      <alignment horizontal="left" vertical="top"/>
    </xf>
    <xf numFmtId="0" fontId="29" fillId="0" borderId="1" xfId="0" quotePrefix="1" applyFont="1" applyBorder="1" applyAlignment="1">
      <alignment horizontal="left" vertical="top"/>
    </xf>
    <xf numFmtId="0" fontId="29" fillId="0" borderId="2" xfId="0" quotePrefix="1" applyFont="1" applyBorder="1" applyAlignment="1">
      <alignment horizontal="left" vertical="top"/>
    </xf>
    <xf numFmtId="0" fontId="29" fillId="0" borderId="2" xfId="0" applyFont="1" applyBorder="1" applyAlignment="1">
      <alignment vertical="top"/>
    </xf>
    <xf numFmtId="0" fontId="29" fillId="0" borderId="7" xfId="0" applyFont="1" applyBorder="1" applyAlignment="1">
      <alignment vertical="top"/>
    </xf>
    <xf numFmtId="0" fontId="29" fillId="0" borderId="2" xfId="0" applyFont="1" applyBorder="1" applyAlignment="1">
      <alignment horizontal="left" vertical="top"/>
    </xf>
    <xf numFmtId="0" fontId="33" fillId="0" borderId="0" xfId="0" applyFont="1"/>
    <xf numFmtId="0" fontId="29" fillId="0" borderId="14" xfId="0" applyFont="1" applyBorder="1"/>
    <xf numFmtId="0" fontId="29" fillId="0" borderId="13" xfId="0" applyFont="1" applyBorder="1"/>
    <xf numFmtId="0" fontId="29" fillId="0" borderId="15" xfId="0" applyFont="1" applyBorder="1"/>
    <xf numFmtId="0" fontId="37" fillId="0" borderId="15" xfId="0" applyFont="1" applyBorder="1"/>
    <xf numFmtId="0" fontId="37" fillId="0" borderId="9" xfId="0" applyFont="1" applyBorder="1"/>
    <xf numFmtId="0" fontId="136" fillId="0" borderId="8" xfId="0" applyFont="1" applyBorder="1"/>
    <xf numFmtId="0" fontId="137" fillId="0" borderId="11" xfId="0" applyFont="1" applyBorder="1"/>
    <xf numFmtId="0" fontId="37" fillId="0" borderId="10" xfId="0" applyFont="1" applyBorder="1"/>
    <xf numFmtId="0" fontId="136" fillId="0" borderId="5" xfId="0" applyFont="1" applyBorder="1"/>
    <xf numFmtId="0" fontId="137" fillId="0" borderId="10" xfId="0" applyFont="1" applyBorder="1"/>
    <xf numFmtId="0" fontId="37" fillId="0" borderId="5" xfId="0" applyFont="1" applyBorder="1"/>
    <xf numFmtId="0" fontId="37" fillId="0" borderId="8" xfId="0" applyFont="1" applyBorder="1"/>
    <xf numFmtId="0" fontId="137" fillId="0" borderId="5" xfId="0" applyFont="1" applyBorder="1"/>
    <xf numFmtId="0" fontId="137" fillId="0" borderId="8" xfId="0" applyFont="1" applyBorder="1"/>
    <xf numFmtId="0" fontId="37" fillId="0" borderId="14" xfId="0" applyFont="1" applyBorder="1"/>
    <xf numFmtId="0" fontId="136" fillId="0" borderId="10" xfId="0" applyFont="1" applyBorder="1"/>
    <xf numFmtId="0" fontId="136" fillId="0" borderId="11" xfId="0" applyFont="1" applyBorder="1"/>
    <xf numFmtId="0" fontId="29" fillId="0" borderId="14" xfId="0" applyFont="1" applyBorder="1" applyAlignment="1">
      <alignment vertical="top"/>
    </xf>
    <xf numFmtId="0" fontId="29" fillId="0" borderId="13" xfId="0" applyFont="1" applyBorder="1" applyAlignment="1">
      <alignment vertical="top"/>
    </xf>
    <xf numFmtId="0" fontId="29" fillId="0" borderId="15" xfId="0" applyFont="1" applyBorder="1" applyAlignment="1">
      <alignment vertical="top"/>
    </xf>
    <xf numFmtId="0" fontId="29" fillId="0" borderId="4" xfId="0" applyFont="1" applyBorder="1" applyAlignment="1">
      <alignment vertical="top"/>
    </xf>
    <xf numFmtId="0" fontId="29" fillId="0" borderId="9" xfId="0" applyFont="1" applyBorder="1" applyAlignment="1">
      <alignment vertical="top"/>
    </xf>
    <xf numFmtId="0" fontId="121" fillId="0" borderId="0" xfId="0" applyFont="1" applyAlignment="1">
      <alignment horizontal="left" vertical="center"/>
    </xf>
    <xf numFmtId="0" fontId="3" fillId="0" borderId="6" xfId="0" applyFont="1" applyBorder="1" applyAlignment="1">
      <alignment horizontal="left" vertical="center"/>
    </xf>
    <xf numFmtId="0" fontId="3" fillId="0" borderId="11" xfId="0" applyFont="1" applyBorder="1" applyAlignment="1">
      <alignment horizontal="left" vertical="center"/>
    </xf>
    <xf numFmtId="0" fontId="3" fillId="0" borderId="5" xfId="0" applyFont="1" applyBorder="1" applyAlignment="1">
      <alignment horizontal="right" vertical="center"/>
    </xf>
    <xf numFmtId="0" fontId="3" fillId="0" borderId="8" xfId="0" applyFont="1" applyBorder="1" applyAlignment="1">
      <alignment horizontal="right" vertical="center"/>
    </xf>
    <xf numFmtId="0" fontId="3" fillId="0" borderId="11" xfId="0" applyFont="1" applyBorder="1" applyAlignment="1">
      <alignment horizontal="right" vertical="center"/>
    </xf>
    <xf numFmtId="3" fontId="6" fillId="0" borderId="11" xfId="0" applyNumberFormat="1" applyFont="1" applyBorder="1" applyAlignment="1">
      <alignment horizontal="center" vertical="center"/>
    </xf>
    <xf numFmtId="0" fontId="29" fillId="0" borderId="0" xfId="0" applyFont="1" applyAlignment="1">
      <alignment vertical="top" wrapText="1"/>
    </xf>
    <xf numFmtId="0" fontId="3" fillId="0" borderId="14" xfId="0" applyFont="1" applyBorder="1" applyAlignment="1">
      <alignment horizontal="left" vertical="center"/>
    </xf>
    <xf numFmtId="0" fontId="3" fillId="0" borderId="15" xfId="0" applyFont="1" applyBorder="1" applyAlignment="1">
      <alignment horizontal="left" vertical="center"/>
    </xf>
    <xf numFmtId="0" fontId="5" fillId="0" borderId="13" xfId="0" applyFont="1" applyBorder="1" applyAlignment="1">
      <alignment horizontal="left" vertical="center"/>
    </xf>
    <xf numFmtId="0" fontId="144" fillId="0" borderId="0" xfId="1" applyFont="1" applyAlignment="1">
      <alignment horizontal="right"/>
    </xf>
    <xf numFmtId="0" fontId="42" fillId="0" borderId="0" xfId="1" applyFont="1" applyAlignment="1">
      <alignment horizontal="right"/>
    </xf>
    <xf numFmtId="0" fontId="41" fillId="0" borderId="0" xfId="1" applyFont="1" applyAlignment="1">
      <alignment horizontal="right"/>
    </xf>
    <xf numFmtId="0" fontId="72" fillId="0" borderId="0" xfId="0" applyFont="1" applyAlignment="1">
      <alignment vertical="center"/>
    </xf>
    <xf numFmtId="0" fontId="23" fillId="9" borderId="0" xfId="0" applyFont="1" applyFill="1" applyAlignment="1">
      <alignment vertical="center"/>
    </xf>
    <xf numFmtId="0" fontId="29" fillId="0" borderId="3" xfId="0" quotePrefix="1" applyFont="1" applyBorder="1" applyAlignment="1">
      <alignment vertical="top"/>
    </xf>
    <xf numFmtId="0" fontId="29" fillId="0" borderId="13" xfId="0" applyFont="1" applyBorder="1" applyAlignment="1">
      <alignment vertical="center"/>
    </xf>
    <xf numFmtId="0" fontId="29" fillId="0" borderId="15" xfId="0" applyFont="1" applyBorder="1" applyAlignment="1">
      <alignment horizontal="right" vertical="top"/>
    </xf>
    <xf numFmtId="0" fontId="29" fillId="0" borderId="7" xfId="0" applyFont="1" applyBorder="1" applyAlignment="1">
      <alignment horizontal="left" vertical="top"/>
    </xf>
    <xf numFmtId="0" fontId="29" fillId="0" borderId="1" xfId="0" applyFont="1" applyBorder="1" applyAlignment="1">
      <alignment horizontal="left" vertical="top"/>
    </xf>
    <xf numFmtId="0" fontId="29" fillId="0" borderId="13" xfId="0" quotePrefix="1" applyFont="1" applyBorder="1" applyAlignment="1">
      <alignment vertical="top"/>
    </xf>
    <xf numFmtId="0" fontId="2" fillId="5" borderId="0" xfId="0" applyFont="1" applyFill="1" applyAlignment="1">
      <alignment vertical="center"/>
    </xf>
    <xf numFmtId="175" fontId="49" fillId="0" borderId="14" xfId="0" applyNumberFormat="1" applyFont="1" applyBorder="1" applyAlignment="1">
      <alignment horizontal="center" vertical="center" wrapText="1"/>
    </xf>
    <xf numFmtId="175" fontId="49" fillId="0" borderId="13" xfId="0" applyNumberFormat="1" applyFont="1" applyBorder="1" applyAlignment="1">
      <alignment horizontal="center" vertical="center" wrapText="1"/>
    </xf>
    <xf numFmtId="175" fontId="49" fillId="0" borderId="15" xfId="0" applyNumberFormat="1" applyFont="1" applyBorder="1" applyAlignment="1">
      <alignment horizontal="center" vertical="center" wrapText="1"/>
    </xf>
    <xf numFmtId="0" fontId="147" fillId="10" borderId="0" xfId="0" applyFont="1" applyFill="1" applyAlignment="1">
      <alignment vertical="center"/>
    </xf>
    <xf numFmtId="0" fontId="19" fillId="0" borderId="0" xfId="0" quotePrefix="1" applyFont="1" applyAlignment="1">
      <alignment vertical="center"/>
    </xf>
    <xf numFmtId="169" fontId="19" fillId="0" borderId="7" xfId="0" applyNumberFormat="1" applyFont="1" applyBorder="1" applyAlignment="1">
      <alignment horizontal="center" vertical="center"/>
    </xf>
    <xf numFmtId="0" fontId="119" fillId="5" borderId="0" xfId="0" applyFont="1" applyFill="1" applyAlignment="1">
      <alignment vertical="center"/>
    </xf>
    <xf numFmtId="0" fontId="91" fillId="5" borderId="0" xfId="0" applyFont="1" applyFill="1" applyAlignment="1">
      <alignment vertical="center"/>
    </xf>
    <xf numFmtId="0" fontId="16" fillId="5" borderId="0" xfId="0" applyFont="1" applyFill="1" applyAlignment="1">
      <alignment horizontal="left" vertical="center"/>
    </xf>
    <xf numFmtId="0" fontId="120" fillId="5" borderId="0" xfId="0" applyFont="1" applyFill="1" applyAlignment="1">
      <alignment horizontal="left" vertical="center"/>
    </xf>
    <xf numFmtId="0" fontId="91" fillId="5" borderId="0" xfId="0" applyFont="1" applyFill="1" applyAlignment="1">
      <alignment horizontal="left" vertical="center"/>
    </xf>
    <xf numFmtId="0" fontId="120" fillId="5" borderId="0" xfId="0" applyFont="1" applyFill="1" applyAlignment="1">
      <alignment vertical="center"/>
    </xf>
    <xf numFmtId="0" fontId="66" fillId="9" borderId="0" xfId="0" applyFont="1" applyFill="1" applyAlignment="1">
      <alignment vertical="center"/>
    </xf>
    <xf numFmtId="0" fontId="149" fillId="0" borderId="0" xfId="0" applyFont="1" applyAlignment="1">
      <alignment vertical="center"/>
    </xf>
    <xf numFmtId="172" fontId="109" fillId="0" borderId="0" xfId="0" applyNumberFormat="1" applyFont="1" applyAlignment="1">
      <alignment vertical="center"/>
    </xf>
    <xf numFmtId="172" fontId="110" fillId="0" borderId="3" xfId="0" applyNumberFormat="1" applyFont="1" applyBorder="1" applyAlignment="1">
      <alignment vertical="center"/>
    </xf>
    <xf numFmtId="176" fontId="32" fillId="0" borderId="0" xfId="0" applyNumberFormat="1" applyFont="1" applyAlignment="1">
      <alignment horizontal="left" vertical="center"/>
    </xf>
    <xf numFmtId="173" fontId="29" fillId="0" borderId="0" xfId="0" applyNumberFormat="1" applyFont="1" applyAlignment="1">
      <alignment vertical="center"/>
    </xf>
    <xf numFmtId="0" fontId="150" fillId="5" borderId="0" xfId="0" applyFont="1" applyFill="1" applyAlignment="1">
      <alignment vertical="center"/>
    </xf>
    <xf numFmtId="166" fontId="6" fillId="0" borderId="0" xfId="0" applyNumberFormat="1" applyFont="1" applyAlignment="1">
      <alignment vertical="center"/>
    </xf>
    <xf numFmtId="0" fontId="29" fillId="0" borderId="5" xfId="0" applyFont="1" applyBorder="1" applyAlignment="1">
      <alignment horizontal="center"/>
    </xf>
    <xf numFmtId="0" fontId="29" fillId="0" borderId="8" xfId="0" applyFont="1" applyBorder="1" applyAlignment="1">
      <alignment horizontal="center"/>
    </xf>
    <xf numFmtId="0" fontId="29" fillId="0" borderId="0" xfId="0" applyFont="1" applyAlignment="1">
      <alignment horizontal="right"/>
    </xf>
    <xf numFmtId="0" fontId="29" fillId="0" borderId="3" xfId="0" applyFont="1" applyBorder="1" applyAlignment="1">
      <alignment horizontal="right"/>
    </xf>
    <xf numFmtId="173" fontId="108" fillId="17" borderId="46" xfId="0" applyNumberFormat="1" applyFont="1" applyFill="1" applyBorder="1" applyAlignment="1">
      <alignment horizontal="center" vertical="center"/>
    </xf>
    <xf numFmtId="173" fontId="9" fillId="0" borderId="0" xfId="0" applyNumberFormat="1" applyFont="1" applyAlignment="1">
      <alignment vertical="center"/>
    </xf>
    <xf numFmtId="173" fontId="107" fillId="0" borderId="0" xfId="0" applyNumberFormat="1" applyFont="1" applyAlignment="1">
      <alignment horizontal="left" vertical="center"/>
    </xf>
    <xf numFmtId="173" fontId="21" fillId="0" borderId="0" xfId="0" applyNumberFormat="1" applyFont="1" applyAlignment="1">
      <alignment horizontal="left" vertical="center"/>
    </xf>
    <xf numFmtId="173" fontId="19" fillId="0" borderId="0" xfId="0" applyNumberFormat="1" applyFont="1" applyAlignment="1">
      <alignment vertical="center"/>
    </xf>
    <xf numFmtId="173" fontId="32" fillId="0" borderId="0" xfId="0" applyNumberFormat="1" applyFont="1" applyAlignment="1">
      <alignment horizontal="left" vertical="center"/>
    </xf>
    <xf numFmtId="173" fontId="117" fillId="5" borderId="0" xfId="0" applyNumberFormat="1" applyFont="1" applyFill="1" applyAlignment="1">
      <alignment vertical="center"/>
    </xf>
    <xf numFmtId="173" fontId="37" fillId="0" borderId="0" xfId="0" applyNumberFormat="1" applyFont="1" applyAlignment="1">
      <alignment vertical="center"/>
    </xf>
    <xf numFmtId="173" fontId="38" fillId="0" borderId="0" xfId="0" applyNumberFormat="1" applyFont="1" applyAlignment="1">
      <alignment vertical="top"/>
    </xf>
    <xf numFmtId="0" fontId="32" fillId="0" borderId="4" xfId="0" applyFont="1" applyBorder="1" applyAlignment="1">
      <alignment horizontal="right" vertical="center"/>
    </xf>
    <xf numFmtId="0" fontId="135" fillId="0" borderId="4" xfId="0" applyFont="1" applyBorder="1" applyAlignment="1">
      <alignment vertical="center"/>
    </xf>
    <xf numFmtId="172" fontId="109" fillId="0" borderId="0" xfId="0" applyNumberFormat="1" applyFont="1" applyAlignment="1">
      <alignment horizontal="right" vertical="top"/>
    </xf>
    <xf numFmtId="0" fontId="6" fillId="14" borderId="10" xfId="0" applyFont="1" applyFill="1" applyBorder="1" applyAlignment="1" applyProtection="1">
      <alignment horizontal="center" vertical="center"/>
      <protection locked="0"/>
    </xf>
    <xf numFmtId="0" fontId="3" fillId="14" borderId="42" xfId="0" applyFont="1" applyFill="1" applyBorder="1" applyAlignment="1" applyProtection="1">
      <alignment horizontal="center" vertical="center"/>
      <protection locked="0"/>
    </xf>
    <xf numFmtId="0" fontId="105" fillId="13" borderId="17" xfId="0" applyFont="1" applyFill="1" applyBorder="1" applyAlignment="1" applyProtection="1">
      <alignment vertical="center"/>
      <protection locked="0"/>
    </xf>
    <xf numFmtId="0" fontId="32" fillId="14" borderId="18" xfId="0" applyFont="1" applyFill="1" applyBorder="1" applyAlignment="1" applyProtection="1">
      <alignment horizontal="center" vertical="center"/>
      <protection locked="0"/>
    </xf>
    <xf numFmtId="0" fontId="32" fillId="14" borderId="17" xfId="0" applyFont="1" applyFill="1" applyBorder="1" applyAlignment="1" applyProtection="1">
      <alignment horizontal="center" vertical="center"/>
      <protection locked="0"/>
    </xf>
    <xf numFmtId="0" fontId="32" fillId="14" borderId="31" xfId="0" applyFont="1" applyFill="1" applyBorder="1" applyAlignment="1" applyProtection="1">
      <alignment horizontal="center" vertical="top"/>
      <protection locked="0"/>
    </xf>
    <xf numFmtId="0" fontId="32" fillId="14" borderId="32" xfId="0" applyFont="1" applyFill="1" applyBorder="1" applyAlignment="1" applyProtection="1">
      <alignment horizontal="center" vertical="top"/>
      <protection locked="0"/>
    </xf>
    <xf numFmtId="0" fontId="32" fillId="14" borderId="33" xfId="0" applyFont="1" applyFill="1" applyBorder="1" applyAlignment="1" applyProtection="1">
      <alignment horizontal="center" vertical="top"/>
      <protection locked="0"/>
    </xf>
    <xf numFmtId="0" fontId="32" fillId="14" borderId="34" xfId="0" applyFont="1" applyFill="1" applyBorder="1" applyAlignment="1" applyProtection="1">
      <alignment horizontal="center" vertical="top"/>
      <protection locked="0"/>
    </xf>
    <xf numFmtId="0" fontId="32" fillId="14" borderId="35" xfId="0" applyFont="1" applyFill="1" applyBorder="1" applyAlignment="1" applyProtection="1">
      <alignment horizontal="center" vertical="top"/>
      <protection locked="0"/>
    </xf>
    <xf numFmtId="0" fontId="32" fillId="14" borderId="36" xfId="0" applyFont="1" applyFill="1" applyBorder="1" applyAlignment="1" applyProtection="1">
      <alignment horizontal="center" vertical="top"/>
      <protection locked="0"/>
    </xf>
    <xf numFmtId="0" fontId="32" fillId="15" borderId="19" xfId="0" applyFont="1" applyFill="1" applyBorder="1" applyAlignment="1" applyProtection="1">
      <alignment vertical="top" wrapText="1"/>
      <protection locked="0"/>
    </xf>
    <xf numFmtId="0" fontId="32" fillId="15" borderId="20" xfId="0" applyFont="1" applyFill="1" applyBorder="1" applyAlignment="1" applyProtection="1">
      <alignment vertical="top"/>
      <protection locked="0"/>
    </xf>
    <xf numFmtId="0" fontId="32" fillId="15" borderId="20" xfId="0" applyFont="1" applyFill="1" applyBorder="1" applyAlignment="1" applyProtection="1">
      <alignment vertical="top" wrapText="1"/>
      <protection locked="0"/>
    </xf>
    <xf numFmtId="0" fontId="32" fillId="15" borderId="22" xfId="0" applyFont="1" applyFill="1" applyBorder="1" applyAlignment="1" applyProtection="1">
      <alignment vertical="top" wrapText="1"/>
      <protection locked="0"/>
    </xf>
    <xf numFmtId="0" fontId="32" fillId="15" borderId="23" xfId="0" applyFont="1" applyFill="1" applyBorder="1" applyAlignment="1" applyProtection="1">
      <alignment vertical="top"/>
      <protection locked="0"/>
    </xf>
    <xf numFmtId="0" fontId="32" fillId="15" borderId="23" xfId="0" applyFont="1" applyFill="1" applyBorder="1" applyAlignment="1" applyProtection="1">
      <alignment vertical="top" wrapText="1"/>
      <protection locked="0"/>
    </xf>
    <xf numFmtId="0" fontId="32" fillId="15" borderId="25" xfId="0" applyFont="1" applyFill="1" applyBorder="1" applyAlignment="1" applyProtection="1">
      <alignment vertical="top" wrapText="1"/>
      <protection locked="0"/>
    </xf>
    <xf numFmtId="0" fontId="32" fillId="15" borderId="26" xfId="0" applyFont="1" applyFill="1" applyBorder="1" applyAlignment="1" applyProtection="1">
      <alignment vertical="top"/>
      <protection locked="0"/>
    </xf>
    <xf numFmtId="0" fontId="32" fillId="15" borderId="26" xfId="0" applyFont="1" applyFill="1" applyBorder="1" applyAlignment="1" applyProtection="1">
      <alignment vertical="top" wrapText="1"/>
      <protection locked="0"/>
    </xf>
    <xf numFmtId="0" fontId="148" fillId="14" borderId="14" xfId="0" applyFont="1" applyFill="1" applyBorder="1" applyAlignment="1" applyProtection="1">
      <alignment horizontal="center" vertical="center" wrapText="1"/>
      <protection locked="0"/>
    </xf>
    <xf numFmtId="0" fontId="148" fillId="14" borderId="13" xfId="0" applyFont="1" applyFill="1" applyBorder="1" applyAlignment="1" applyProtection="1">
      <alignment horizontal="center" vertical="center" wrapText="1"/>
      <protection locked="0"/>
    </xf>
    <xf numFmtId="0" fontId="148" fillId="14" borderId="15" xfId="0" applyFont="1" applyFill="1" applyBorder="1" applyAlignment="1" applyProtection="1">
      <alignment horizontal="center" vertical="center" wrapText="1"/>
      <protection locked="0"/>
    </xf>
    <xf numFmtId="0" fontId="47" fillId="14" borderId="12" xfId="0" applyFont="1" applyFill="1" applyBorder="1" applyAlignment="1" applyProtection="1">
      <alignment horizontal="center" vertical="center"/>
      <protection locked="0"/>
    </xf>
    <xf numFmtId="0" fontId="47" fillId="14" borderId="7" xfId="0" applyFont="1" applyFill="1" applyBorder="1" applyAlignment="1" applyProtection="1">
      <alignment horizontal="center" vertical="center"/>
      <protection locked="0"/>
    </xf>
    <xf numFmtId="0" fontId="47" fillId="14" borderId="1" xfId="0" applyFont="1" applyFill="1" applyBorder="1" applyAlignment="1" applyProtection="1">
      <alignment horizontal="center" vertical="center"/>
      <protection locked="0"/>
    </xf>
    <xf numFmtId="0" fontId="47" fillId="14" borderId="3" xfId="0" applyFont="1" applyFill="1" applyBorder="1" applyAlignment="1" applyProtection="1">
      <alignment vertical="center"/>
      <protection locked="0"/>
    </xf>
    <xf numFmtId="0" fontId="47" fillId="14" borderId="14" xfId="0" applyFont="1" applyFill="1" applyBorder="1" applyAlignment="1" applyProtection="1">
      <alignment horizontal="center" vertical="center"/>
      <protection locked="0"/>
    </xf>
    <xf numFmtId="0" fontId="47" fillId="14" borderId="13" xfId="0" applyFont="1" applyFill="1" applyBorder="1" applyAlignment="1" applyProtection="1">
      <alignment horizontal="center" vertical="center"/>
      <protection locked="0"/>
    </xf>
    <xf numFmtId="0" fontId="47" fillId="14" borderId="15" xfId="0" applyFont="1" applyFill="1" applyBorder="1" applyAlignment="1" applyProtection="1">
      <alignment horizontal="center" vertical="center"/>
      <protection locked="0"/>
    </xf>
    <xf numFmtId="0" fontId="83" fillId="14" borderId="12" xfId="0" applyFont="1" applyFill="1" applyBorder="1" applyAlignment="1" applyProtection="1">
      <alignment horizontal="center" vertical="center" wrapText="1"/>
      <protection locked="0"/>
    </xf>
    <xf numFmtId="0" fontId="19" fillId="14" borderId="12" xfId="0" applyFont="1" applyFill="1" applyBorder="1" applyAlignment="1" applyProtection="1">
      <alignment horizontal="center" vertical="center"/>
      <protection locked="0"/>
    </xf>
    <xf numFmtId="0" fontId="19" fillId="14" borderId="7" xfId="0" applyFont="1" applyFill="1" applyBorder="1" applyAlignment="1" applyProtection="1">
      <alignment horizontal="center" vertical="center"/>
      <protection locked="0"/>
    </xf>
    <xf numFmtId="0" fontId="19" fillId="14" borderId="1" xfId="0" applyFont="1" applyFill="1" applyBorder="1" applyAlignment="1" applyProtection="1">
      <alignment horizontal="center" vertical="center"/>
      <protection locked="0"/>
    </xf>
    <xf numFmtId="0" fontId="29" fillId="14" borderId="23" xfId="0" applyFont="1" applyFill="1" applyBorder="1" applyProtection="1">
      <protection locked="0"/>
    </xf>
    <xf numFmtId="0" fontId="29" fillId="14" borderId="26" xfId="0" applyFont="1" applyFill="1" applyBorder="1" applyProtection="1">
      <protection locked="0"/>
    </xf>
    <xf numFmtId="0" fontId="3" fillId="9" borderId="0" xfId="0" applyFont="1" applyFill="1" applyAlignment="1">
      <alignment horizontal="left" vertical="center"/>
    </xf>
    <xf numFmtId="0" fontId="3" fillId="9" borderId="0" xfId="0" applyFont="1" applyFill="1" applyAlignment="1">
      <alignment horizontal="right" vertical="center"/>
    </xf>
    <xf numFmtId="0" fontId="28" fillId="9" borderId="0" xfId="0" applyFont="1" applyFill="1" applyAlignment="1">
      <alignment horizontal="left" vertical="center"/>
    </xf>
    <xf numFmtId="0" fontId="16" fillId="9" borderId="0" xfId="0" applyFont="1" applyFill="1" applyAlignment="1">
      <alignment horizontal="left" vertical="center"/>
    </xf>
    <xf numFmtId="0" fontId="75" fillId="9" borderId="0" xfId="0" applyFont="1" applyFill="1" applyAlignment="1">
      <alignment horizontal="right" vertical="center"/>
    </xf>
    <xf numFmtId="0" fontId="75" fillId="9" borderId="7" xfId="0" applyFont="1" applyFill="1" applyBorder="1" applyAlignment="1">
      <alignment horizontal="right" vertical="center"/>
    </xf>
    <xf numFmtId="0" fontId="75" fillId="9" borderId="12" xfId="0" applyFont="1" applyFill="1" applyBorder="1" applyAlignment="1">
      <alignment horizontal="right" vertical="center"/>
    </xf>
    <xf numFmtId="0" fontId="75" fillId="9" borderId="1" xfId="0" applyFont="1" applyFill="1" applyBorder="1" applyAlignment="1">
      <alignment horizontal="right" vertical="center"/>
    </xf>
    <xf numFmtId="0" fontId="112" fillId="9" borderId="0" xfId="0" applyFont="1" applyFill="1" applyAlignment="1">
      <alignment horizontal="right" vertical="center"/>
    </xf>
    <xf numFmtId="0" fontId="112" fillId="9" borderId="0" xfId="0" applyFont="1" applyFill="1" applyAlignment="1">
      <alignment horizontal="left" vertical="center"/>
    </xf>
    <xf numFmtId="0" fontId="113" fillId="9" borderId="0" xfId="0" applyFont="1" applyFill="1" applyAlignment="1">
      <alignment horizontal="left" vertical="center"/>
    </xf>
    <xf numFmtId="0" fontId="21" fillId="9" borderId="0" xfId="0" applyFont="1" applyFill="1" applyAlignment="1">
      <alignment horizontal="left" vertical="center"/>
    </xf>
    <xf numFmtId="0" fontId="75" fillId="9" borderId="7" xfId="0" applyFont="1" applyFill="1" applyBorder="1" applyAlignment="1">
      <alignment horizontal="left" vertical="center"/>
    </xf>
    <xf numFmtId="0" fontId="75" fillId="9" borderId="12" xfId="0" applyFont="1" applyFill="1" applyBorder="1" applyAlignment="1">
      <alignment horizontal="left" vertical="center"/>
    </xf>
    <xf numFmtId="0" fontId="75" fillId="9" borderId="1" xfId="0" applyFont="1" applyFill="1" applyBorder="1" applyAlignment="1">
      <alignment horizontal="left" vertical="center"/>
    </xf>
    <xf numFmtId="0" fontId="67" fillId="9" borderId="0" xfId="0" applyFont="1" applyFill="1" applyAlignment="1">
      <alignment horizontal="center"/>
    </xf>
    <xf numFmtId="0" fontId="67" fillId="9" borderId="0" xfId="0" applyFont="1" applyFill="1"/>
    <xf numFmtId="0" fontId="60" fillId="18" borderId="0" xfId="0" applyFont="1" applyFill="1" applyAlignment="1">
      <alignment vertical="center"/>
    </xf>
    <xf numFmtId="0" fontId="60" fillId="2" borderId="0" xfId="0" applyFont="1" applyFill="1" applyAlignment="1" applyProtection="1">
      <alignment vertical="center"/>
      <protection locked="0"/>
    </xf>
    <xf numFmtId="0" fontId="32" fillId="0" borderId="17" xfId="0" applyFont="1" applyBorder="1" applyAlignment="1">
      <alignment horizontal="center" vertical="center"/>
    </xf>
    <xf numFmtId="0" fontId="32" fillId="0" borderId="17" xfId="0" applyFont="1" applyBorder="1" applyAlignment="1">
      <alignment horizontal="left" vertical="center"/>
    </xf>
    <xf numFmtId="171" fontId="6" fillId="0" borderId="19" xfId="0" applyNumberFormat="1" applyFont="1" applyBorder="1" applyAlignment="1" applyProtection="1">
      <alignment horizontal="center" vertical="center"/>
      <protection locked="0"/>
    </xf>
    <xf numFmtId="0" fontId="6" fillId="0" borderId="30"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28" xfId="0" applyFont="1" applyBorder="1" applyAlignment="1" applyProtection="1">
      <alignment horizontal="center" vertical="center"/>
      <protection locked="0"/>
    </xf>
    <xf numFmtId="171" fontId="6" fillId="0" borderId="25" xfId="0" applyNumberFormat="1" applyFont="1" applyBorder="1" applyAlignment="1" applyProtection="1">
      <alignment horizontal="center" vertical="center"/>
      <protection locked="0"/>
    </xf>
    <xf numFmtId="0" fontId="6" fillId="0" borderId="21"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22" xfId="0" applyFont="1" applyBorder="1" applyAlignment="1" applyProtection="1">
      <alignment horizontal="center" vertical="center"/>
      <protection locked="0"/>
    </xf>
    <xf numFmtId="0" fontId="6" fillId="0" borderId="20" xfId="0" applyFont="1" applyBorder="1" applyAlignment="1" applyProtection="1">
      <alignment horizontal="center" vertical="center"/>
      <protection locked="0"/>
    </xf>
    <xf numFmtId="0" fontId="6" fillId="0" borderId="28" xfId="0" applyFont="1" applyBorder="1" applyAlignment="1">
      <alignment horizontal="center" vertical="center"/>
    </xf>
    <xf numFmtId="0" fontId="6" fillId="0" borderId="29" xfId="0" applyFont="1" applyBorder="1" applyAlignment="1">
      <alignment horizontal="center" vertical="center"/>
    </xf>
    <xf numFmtId="0" fontId="3" fillId="0" borderId="42" xfId="0" applyFont="1" applyBorder="1" applyAlignment="1" applyProtection="1">
      <alignment horizontal="center" vertical="center"/>
      <protection locked="0"/>
    </xf>
    <xf numFmtId="0" fontId="3" fillId="0" borderId="43" xfId="0" applyFont="1" applyBorder="1" applyAlignment="1" applyProtection="1">
      <alignment horizontal="center" vertical="center"/>
      <protection locked="0"/>
    </xf>
    <xf numFmtId="0" fontId="3" fillId="0" borderId="44" xfId="0" applyFont="1" applyBorder="1" applyAlignment="1" applyProtection="1">
      <alignment horizontal="center" vertical="center"/>
      <protection locked="0"/>
    </xf>
    <xf numFmtId="0" fontId="3" fillId="0" borderId="28" xfId="0" applyFont="1" applyBorder="1" applyAlignment="1" applyProtection="1">
      <alignment horizontal="left" vertical="center"/>
      <protection locked="0"/>
    </xf>
    <xf numFmtId="0" fontId="3" fillId="0" borderId="0" xfId="0" applyFont="1" applyAlignment="1" applyProtection="1">
      <alignment horizontal="left" vertical="center"/>
      <protection locked="0"/>
    </xf>
    <xf numFmtId="0" fontId="128" fillId="0" borderId="0" xfId="0" applyFont="1" applyAlignment="1">
      <alignment horizontal="left" vertical="center"/>
    </xf>
    <xf numFmtId="0" fontId="5" fillId="5" borderId="0" xfId="0" applyFont="1" applyFill="1" applyAlignment="1">
      <alignment horizontal="left" vertical="center"/>
    </xf>
    <xf numFmtId="0" fontId="23" fillId="5" borderId="0" xfId="0" applyFont="1" applyFill="1" applyAlignment="1">
      <alignment horizontal="left" vertical="center"/>
    </xf>
    <xf numFmtId="0" fontId="23" fillId="5" borderId="0" xfId="0" applyFont="1" applyFill="1" applyAlignment="1">
      <alignment horizontal="center" vertical="center"/>
    </xf>
    <xf numFmtId="166" fontId="14" fillId="0" borderId="0" xfId="0" applyNumberFormat="1" applyFont="1" applyAlignment="1">
      <alignment vertical="center"/>
    </xf>
    <xf numFmtId="0" fontId="2" fillId="5" borderId="0" xfId="0" applyFont="1" applyFill="1" applyAlignment="1">
      <alignment horizontal="left" vertical="center"/>
    </xf>
    <xf numFmtId="0" fontId="6"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2" fillId="5" borderId="0" xfId="0" applyFont="1" applyFill="1" applyAlignment="1">
      <alignment horizontal="center" vertical="center" wrapText="1"/>
    </xf>
    <xf numFmtId="0" fontId="6" fillId="0" borderId="0" xfId="0" applyFont="1" applyAlignment="1" applyProtection="1">
      <alignment horizontal="center" vertical="center"/>
      <protection locked="0"/>
    </xf>
    <xf numFmtId="0" fontId="3" fillId="9" borderId="16" xfId="0" applyFont="1" applyFill="1" applyBorder="1" applyAlignment="1">
      <alignment horizontal="center" vertical="center" wrapText="1"/>
    </xf>
    <xf numFmtId="171" fontId="6" fillId="0" borderId="0" xfId="0" applyNumberFormat="1" applyFont="1" applyAlignment="1" applyProtection="1">
      <alignment horizontal="center" vertical="center"/>
      <protection locked="0"/>
    </xf>
    <xf numFmtId="0" fontId="75" fillId="0" borderId="0" xfId="0" applyFont="1" applyAlignment="1">
      <alignment horizontal="left" vertical="center"/>
    </xf>
    <xf numFmtId="0" fontId="3" fillId="9" borderId="51" xfId="0" applyFont="1" applyFill="1" applyBorder="1" applyAlignment="1">
      <alignment horizontal="left" vertical="center" wrapText="1"/>
    </xf>
    <xf numFmtId="0" fontId="3" fillId="9" borderId="52" xfId="0" applyFont="1" applyFill="1" applyBorder="1" applyAlignment="1">
      <alignment horizontal="left" vertical="center" wrapText="1"/>
    </xf>
    <xf numFmtId="0" fontId="5" fillId="9" borderId="53" xfId="0" applyFont="1" applyFill="1" applyBorder="1" applyAlignment="1">
      <alignment horizontal="left" vertical="center" wrapText="1"/>
    </xf>
    <xf numFmtId="0" fontId="3" fillId="0" borderId="3" xfId="0" applyFont="1" applyBorder="1" applyAlignment="1">
      <alignment horizontal="center" vertical="center"/>
    </xf>
    <xf numFmtId="164" fontId="6" fillId="0" borderId="11" xfId="0" applyNumberFormat="1" applyFont="1" applyBorder="1" applyAlignment="1">
      <alignment horizontal="center" vertical="center"/>
    </xf>
    <xf numFmtId="164" fontId="14" fillId="0" borderId="11" xfId="0" applyNumberFormat="1" applyFont="1" applyBorder="1" applyAlignment="1">
      <alignment horizontal="center" vertical="center"/>
    </xf>
    <xf numFmtId="0" fontId="113" fillId="0" borderId="0" xfId="0" applyFont="1" applyAlignment="1">
      <alignment horizontal="left" vertical="center"/>
    </xf>
    <xf numFmtId="0" fontId="5" fillId="3" borderId="5" xfId="0" applyFont="1" applyFill="1" applyBorder="1" applyAlignment="1">
      <alignment horizontal="left" vertical="center"/>
    </xf>
    <xf numFmtId="0" fontId="3" fillId="9" borderId="41" xfId="0" applyFont="1" applyFill="1" applyBorder="1" applyAlignment="1">
      <alignment horizontal="center" vertical="center" wrapText="1"/>
    </xf>
    <xf numFmtId="177" fontId="3" fillId="0" borderId="0" xfId="0" applyNumberFormat="1" applyFont="1" applyAlignment="1">
      <alignment horizontal="center" vertical="center"/>
    </xf>
    <xf numFmtId="177" fontId="3" fillId="0" borderId="0" xfId="0" applyNumberFormat="1" applyFont="1" applyAlignment="1">
      <alignment horizontal="left" vertical="center"/>
    </xf>
    <xf numFmtId="177" fontId="3" fillId="0" borderId="3" xfId="0" applyNumberFormat="1" applyFont="1" applyBorder="1" applyAlignment="1">
      <alignment horizontal="center" vertical="center"/>
    </xf>
    <xf numFmtId="0" fontId="3" fillId="0" borderId="3" xfId="0" applyFont="1" applyBorder="1" applyAlignment="1" applyProtection="1">
      <alignment horizontal="left" vertical="center"/>
      <protection locked="0"/>
    </xf>
    <xf numFmtId="171" fontId="6" fillId="0" borderId="54" xfId="0" applyNumberFormat="1" applyFont="1" applyBorder="1" applyAlignment="1" applyProtection="1">
      <alignment horizontal="center" vertical="center"/>
      <protection locked="0"/>
    </xf>
    <xf numFmtId="0" fontId="3" fillId="9" borderId="52" xfId="0" applyFont="1" applyFill="1" applyBorder="1" applyAlignment="1">
      <alignment horizontal="center" vertical="center" wrapText="1"/>
    </xf>
    <xf numFmtId="0" fontId="9" fillId="5" borderId="0" xfId="0" applyFont="1" applyFill="1" applyAlignment="1">
      <alignment horizontal="left" vertical="center"/>
    </xf>
    <xf numFmtId="0" fontId="23" fillId="0" borderId="0" xfId="0" applyFont="1" applyAlignment="1">
      <alignment vertical="top"/>
    </xf>
    <xf numFmtId="0" fontId="19" fillId="0" borderId="0" xfId="0" applyFont="1" applyAlignment="1">
      <alignment vertical="top"/>
    </xf>
    <xf numFmtId="0" fontId="38" fillId="0" borderId="0" xfId="0" applyFont="1" applyAlignment="1">
      <alignment vertical="center"/>
    </xf>
    <xf numFmtId="0" fontId="29" fillId="0" borderId="0" xfId="0" applyFont="1" applyAlignment="1" applyProtection="1">
      <alignment vertical="top"/>
      <protection locked="0"/>
    </xf>
    <xf numFmtId="173" fontId="109" fillId="0" borderId="0" xfId="0" applyNumberFormat="1" applyFont="1" applyAlignment="1">
      <alignment vertical="top"/>
    </xf>
    <xf numFmtId="0" fontId="29" fillId="0" borderId="0" xfId="0" applyFont="1" applyAlignment="1" applyProtection="1">
      <alignment horizontal="left" vertical="top" wrapText="1"/>
      <protection locked="0"/>
    </xf>
    <xf numFmtId="0" fontId="29" fillId="0" borderId="0" xfId="0" applyFont="1" applyAlignment="1" applyProtection="1">
      <alignment vertical="top" wrapText="1"/>
      <protection locked="0"/>
    </xf>
    <xf numFmtId="0" fontId="19" fillId="15" borderId="28" xfId="0" applyFont="1" applyFill="1" applyBorder="1" applyAlignment="1" applyProtection="1">
      <alignment vertical="top"/>
      <protection locked="0"/>
    </xf>
    <xf numFmtId="173" fontId="152" fillId="0" borderId="0" xfId="0" applyNumberFormat="1" applyFont="1" applyAlignment="1">
      <alignment vertical="top"/>
    </xf>
    <xf numFmtId="0" fontId="19" fillId="14" borderId="19" xfId="0" applyFont="1" applyFill="1" applyBorder="1" applyAlignment="1" applyProtection="1">
      <alignment horizontal="left" vertical="top" wrapText="1"/>
      <protection locked="0"/>
    </xf>
    <xf numFmtId="0" fontId="19" fillId="13" borderId="20" xfId="0" applyFont="1" applyFill="1" applyBorder="1" applyAlignment="1" applyProtection="1">
      <alignment vertical="top" wrapText="1"/>
      <protection locked="0"/>
    </xf>
    <xf numFmtId="0" fontId="19" fillId="0" borderId="21" xfId="0" applyFont="1" applyBorder="1" applyAlignment="1">
      <alignment vertical="top" wrapText="1"/>
    </xf>
    <xf numFmtId="0" fontId="19" fillId="0" borderId="21" xfId="0" applyFont="1" applyBorder="1" applyAlignment="1">
      <alignment vertical="top"/>
    </xf>
    <xf numFmtId="0" fontId="19" fillId="15" borderId="21" xfId="0" applyFont="1" applyFill="1" applyBorder="1" applyAlignment="1" applyProtection="1">
      <alignment vertical="top"/>
      <protection locked="0"/>
    </xf>
    <xf numFmtId="0" fontId="19" fillId="15" borderId="29" xfId="0" applyFont="1" applyFill="1" applyBorder="1" applyAlignment="1" applyProtection="1">
      <alignment vertical="top"/>
      <protection locked="0"/>
    </xf>
    <xf numFmtId="0" fontId="19" fillId="14" borderId="22" xfId="0" applyFont="1" applyFill="1" applyBorder="1" applyAlignment="1" applyProtection="1">
      <alignment horizontal="left" vertical="top" wrapText="1"/>
      <protection locked="0"/>
    </xf>
    <xf numFmtId="0" fontId="19" fillId="13" borderId="23" xfId="0" applyFont="1" applyFill="1" applyBorder="1" applyAlignment="1" applyProtection="1">
      <alignment vertical="top" wrapText="1"/>
      <protection locked="0"/>
    </xf>
    <xf numFmtId="0" fontId="19" fillId="0" borderId="24" xfId="0" applyFont="1" applyBorder="1" applyAlignment="1">
      <alignment vertical="top" wrapText="1"/>
    </xf>
    <xf numFmtId="0" fontId="19" fillId="15" borderId="30" xfId="0" applyFont="1" applyFill="1" applyBorder="1" applyAlignment="1" applyProtection="1">
      <alignment vertical="top"/>
      <protection locked="0"/>
    </xf>
    <xf numFmtId="0" fontId="19" fillId="13" borderId="26" xfId="0" applyFont="1" applyFill="1" applyBorder="1" applyAlignment="1" applyProtection="1">
      <alignment vertical="top" wrapText="1"/>
      <protection locked="0"/>
    </xf>
    <xf numFmtId="0" fontId="19" fillId="0" borderId="27" xfId="0" applyFont="1" applyBorder="1" applyAlignment="1">
      <alignment vertical="top" wrapText="1"/>
    </xf>
    <xf numFmtId="0" fontId="78" fillId="0" borderId="0" xfId="0" applyFont="1" applyAlignment="1">
      <alignment vertical="top"/>
    </xf>
    <xf numFmtId="0" fontId="23" fillId="0" borderId="0" xfId="0" applyFont="1" applyAlignment="1">
      <alignment horizontal="left" vertical="top"/>
    </xf>
    <xf numFmtId="0" fontId="19" fillId="14" borderId="25" xfId="0" applyFont="1" applyFill="1" applyBorder="1" applyAlignment="1" applyProtection="1">
      <alignment horizontal="left" vertical="top" wrapText="1"/>
      <protection locked="0"/>
    </xf>
    <xf numFmtId="0" fontId="19" fillId="0" borderId="0" xfId="0" applyFont="1" applyAlignment="1" applyProtection="1">
      <alignment vertical="top"/>
      <protection locked="0"/>
    </xf>
    <xf numFmtId="0" fontId="19" fillId="0" borderId="0" xfId="0" applyFont="1" applyAlignment="1" applyProtection="1">
      <alignment horizontal="left" vertical="top" wrapText="1"/>
      <protection locked="0"/>
    </xf>
    <xf numFmtId="0" fontId="19" fillId="0" borderId="17" xfId="0" applyFont="1" applyBorder="1" applyAlignment="1" applyProtection="1">
      <alignment vertical="top" wrapText="1"/>
      <protection locked="0"/>
    </xf>
    <xf numFmtId="0" fontId="19" fillId="0" borderId="0" xfId="0" applyFont="1" applyAlignment="1">
      <alignment vertical="top" wrapText="1"/>
    </xf>
    <xf numFmtId="0" fontId="47" fillId="0" borderId="0" xfId="0" applyFont="1" applyAlignment="1">
      <alignment vertical="top"/>
    </xf>
    <xf numFmtId="173" fontId="21" fillId="0" borderId="0" xfId="0" applyNumberFormat="1" applyFont="1" applyAlignment="1">
      <alignment vertical="top"/>
    </xf>
    <xf numFmtId="0" fontId="19" fillId="0" borderId="0" xfId="0" applyFont="1" applyAlignment="1">
      <alignment horizontal="left" vertical="top"/>
    </xf>
    <xf numFmtId="0" fontId="19" fillId="0" borderId="17" xfId="0" applyFont="1" applyBorder="1" applyAlignment="1">
      <alignment vertical="top"/>
    </xf>
    <xf numFmtId="0" fontId="19" fillId="9" borderId="0" xfId="0" applyFont="1" applyFill="1" applyAlignment="1">
      <alignment vertical="center" wrapText="1"/>
    </xf>
    <xf numFmtId="0" fontId="19" fillId="9" borderId="18" xfId="0" applyFont="1" applyFill="1" applyBorder="1" applyAlignment="1">
      <alignment horizontal="left" vertical="center" wrapText="1"/>
    </xf>
    <xf numFmtId="0" fontId="19" fillId="9" borderId="17" xfId="0" applyFont="1" applyFill="1" applyBorder="1" applyAlignment="1">
      <alignment vertical="center" wrapText="1"/>
    </xf>
    <xf numFmtId="0" fontId="19" fillId="14" borderId="0" xfId="0" applyFont="1" applyFill="1" applyAlignment="1" applyProtection="1">
      <alignment horizontal="left" vertical="top" wrapText="1"/>
      <protection locked="0"/>
    </xf>
    <xf numFmtId="0" fontId="19" fillId="13" borderId="17" xfId="0" applyFont="1" applyFill="1" applyBorder="1" applyAlignment="1" applyProtection="1">
      <alignment vertical="top" wrapText="1"/>
      <protection locked="0"/>
    </xf>
    <xf numFmtId="0" fontId="19" fillId="9" borderId="18" xfId="0" applyFont="1" applyFill="1" applyBorder="1" applyAlignment="1">
      <alignment vertical="center" wrapText="1"/>
    </xf>
    <xf numFmtId="0" fontId="19" fillId="9" borderId="16" xfId="0" applyFont="1" applyFill="1" applyBorder="1" applyAlignment="1">
      <alignment vertical="center" wrapText="1"/>
    </xf>
    <xf numFmtId="0" fontId="19" fillId="9" borderId="16" xfId="0" applyFont="1" applyFill="1" applyBorder="1" applyAlignment="1">
      <alignment horizontal="left" vertical="center" wrapText="1"/>
    </xf>
    <xf numFmtId="173" fontId="19" fillId="0" borderId="0" xfId="0" applyNumberFormat="1" applyFont="1" applyAlignment="1">
      <alignment vertical="top"/>
    </xf>
    <xf numFmtId="0" fontId="19" fillId="15" borderId="19" xfId="0" applyFont="1" applyFill="1" applyBorder="1" applyAlignment="1" applyProtection="1">
      <alignment vertical="top"/>
      <protection locked="0"/>
    </xf>
    <xf numFmtId="0" fontId="19" fillId="15" borderId="22" xfId="0" applyFont="1" applyFill="1" applyBorder="1" applyAlignment="1" applyProtection="1">
      <alignment vertical="top"/>
      <protection locked="0"/>
    </xf>
    <xf numFmtId="0" fontId="19" fillId="15" borderId="24" xfId="0" applyFont="1" applyFill="1" applyBorder="1" applyAlignment="1" applyProtection="1">
      <alignment vertical="top"/>
      <protection locked="0"/>
    </xf>
    <xf numFmtId="0" fontId="19" fillId="15" borderId="25" xfId="0" applyFont="1" applyFill="1" applyBorder="1" applyAlignment="1" applyProtection="1">
      <alignment vertical="top"/>
      <protection locked="0"/>
    </xf>
    <xf numFmtId="0" fontId="19" fillId="15" borderId="27" xfId="0" applyFont="1" applyFill="1" applyBorder="1" applyAlignment="1" applyProtection="1">
      <alignment vertical="top"/>
      <protection locked="0"/>
    </xf>
    <xf numFmtId="0" fontId="21" fillId="0" borderId="0" xfId="0" applyFont="1" applyAlignment="1">
      <alignment vertical="top"/>
    </xf>
    <xf numFmtId="0" fontId="19" fillId="0" borderId="17" xfId="0" applyFont="1" applyBorder="1" applyAlignment="1">
      <alignment vertical="center" wrapText="1"/>
    </xf>
    <xf numFmtId="0" fontId="5" fillId="0" borderId="0" xfId="0" applyFont="1" applyAlignment="1">
      <alignment vertical="top"/>
    </xf>
    <xf numFmtId="0" fontId="3" fillId="0" borderId="0" xfId="0" applyFont="1" applyAlignment="1">
      <alignment vertical="top"/>
    </xf>
    <xf numFmtId="0" fontId="19" fillId="0" borderId="24" xfId="0" applyFont="1" applyBorder="1" applyAlignment="1">
      <alignment vertical="top"/>
    </xf>
    <xf numFmtId="0" fontId="16" fillId="0" borderId="17" xfId="0" applyFont="1" applyBorder="1" applyAlignment="1">
      <alignment vertical="top"/>
    </xf>
    <xf numFmtId="0" fontId="3" fillId="15" borderId="28" xfId="0" applyFont="1" applyFill="1" applyBorder="1" applyAlignment="1" applyProtection="1">
      <alignment vertical="top"/>
      <protection locked="0"/>
    </xf>
    <xf numFmtId="0" fontId="3" fillId="14" borderId="19" xfId="0" applyFont="1" applyFill="1" applyBorder="1" applyAlignment="1" applyProtection="1">
      <alignment horizontal="left" vertical="top" wrapText="1"/>
      <protection locked="0"/>
    </xf>
    <xf numFmtId="0" fontId="3" fillId="13" borderId="20" xfId="0" applyFont="1" applyFill="1" applyBorder="1" applyAlignment="1" applyProtection="1">
      <alignment vertical="top" wrapText="1"/>
      <protection locked="0"/>
    </xf>
    <xf numFmtId="0" fontId="3" fillId="0" borderId="21" xfId="0" applyFont="1" applyBorder="1" applyAlignment="1">
      <alignment vertical="top" wrapText="1"/>
    </xf>
    <xf numFmtId="0" fontId="3" fillId="15" borderId="30" xfId="0" applyFont="1" applyFill="1" applyBorder="1" applyAlignment="1" applyProtection="1">
      <alignment vertical="top"/>
      <protection locked="0"/>
    </xf>
    <xf numFmtId="0" fontId="3" fillId="14" borderId="25" xfId="0" applyFont="1" applyFill="1" applyBorder="1" applyAlignment="1" applyProtection="1">
      <alignment horizontal="left" vertical="top" wrapText="1"/>
      <protection locked="0"/>
    </xf>
    <xf numFmtId="0" fontId="3" fillId="13" borderId="26" xfId="0" applyFont="1" applyFill="1" applyBorder="1" applyAlignment="1" applyProtection="1">
      <alignment vertical="top" wrapText="1"/>
      <protection locked="0"/>
    </xf>
    <xf numFmtId="0" fontId="3" fillId="0" borderId="27" xfId="0" applyFont="1" applyBorder="1" applyAlignment="1">
      <alignment vertical="top" wrapText="1"/>
    </xf>
    <xf numFmtId="0" fontId="19" fillId="0" borderId="0" xfId="0" applyFont="1" applyAlignment="1" applyProtection="1">
      <alignment vertical="top" wrapText="1"/>
      <protection locked="0"/>
    </xf>
    <xf numFmtId="0" fontId="3" fillId="0" borderId="0" xfId="0" applyFont="1" applyAlignment="1">
      <alignment vertical="top" wrapText="1"/>
    </xf>
    <xf numFmtId="0" fontId="3" fillId="0" borderId="0" xfId="0" applyFont="1" applyAlignment="1" applyProtection="1">
      <alignment vertical="top"/>
      <protection locked="0"/>
    </xf>
    <xf numFmtId="0" fontId="3" fillId="0" borderId="0" xfId="0" applyFont="1" applyAlignment="1" applyProtection="1">
      <alignment horizontal="left" vertical="top" wrapText="1"/>
      <protection locked="0"/>
    </xf>
    <xf numFmtId="0" fontId="3" fillId="0" borderId="17" xfId="0" applyFont="1" applyBorder="1" applyAlignment="1" applyProtection="1">
      <alignment vertical="top" wrapText="1"/>
      <protection locked="0"/>
    </xf>
    <xf numFmtId="0" fontId="146" fillId="0" borderId="0" xfId="0" applyFont="1" applyAlignment="1">
      <alignment vertical="center"/>
    </xf>
    <xf numFmtId="0" fontId="26" fillId="0" borderId="0" xfId="0" applyFont="1" applyAlignment="1">
      <alignment horizontal="left" vertical="center"/>
    </xf>
    <xf numFmtId="0" fontId="78" fillId="0" borderId="0" xfId="0" applyFont="1" applyAlignment="1">
      <alignment horizontal="right" vertical="center"/>
    </xf>
    <xf numFmtId="0" fontId="78" fillId="0" borderId="0" xfId="0" applyFont="1" applyAlignment="1">
      <alignment horizontal="center" vertical="center"/>
    </xf>
    <xf numFmtId="0" fontId="47" fillId="0" borderId="0" xfId="0" applyFont="1" applyAlignment="1">
      <alignment horizontal="right" vertical="center"/>
    </xf>
    <xf numFmtId="0" fontId="3" fillId="0" borderId="4" xfId="0" applyFont="1" applyBorder="1" applyAlignment="1">
      <alignment horizontal="right" vertical="center"/>
    </xf>
    <xf numFmtId="166" fontId="6" fillId="0" borderId="4" xfId="0" applyNumberFormat="1" applyFont="1" applyBorder="1" applyAlignment="1">
      <alignment horizontal="center" vertical="center"/>
    </xf>
    <xf numFmtId="0" fontId="32" fillId="9" borderId="41" xfId="0" applyFont="1" applyFill="1" applyBorder="1" applyAlignment="1">
      <alignment horizontal="center" vertical="center" wrapText="1"/>
    </xf>
    <xf numFmtId="0" fontId="32" fillId="9" borderId="0" xfId="0" applyFont="1" applyFill="1" applyAlignment="1">
      <alignment vertical="center"/>
    </xf>
    <xf numFmtId="0" fontId="153" fillId="9" borderId="0" xfId="0" applyFont="1" applyFill="1" applyAlignment="1">
      <alignment vertical="center"/>
    </xf>
    <xf numFmtId="0" fontId="154" fillId="9" borderId="0" xfId="0" applyFont="1" applyFill="1" applyAlignment="1">
      <alignment vertical="center"/>
    </xf>
    <xf numFmtId="0" fontId="155" fillId="9" borderId="0" xfId="0" applyFont="1" applyFill="1" applyAlignment="1">
      <alignment vertical="center"/>
    </xf>
    <xf numFmtId="0" fontId="135" fillId="9" borderId="0" xfId="0" applyFont="1" applyFill="1" applyAlignment="1">
      <alignment vertical="center"/>
    </xf>
    <xf numFmtId="0" fontId="156" fillId="9" borderId="0" xfId="0" applyFont="1" applyFill="1" applyAlignment="1">
      <alignment vertical="center"/>
    </xf>
    <xf numFmtId="0" fontId="9" fillId="5" borderId="0" xfId="0" applyFont="1" applyFill="1" applyAlignment="1">
      <alignment horizontal="center" vertical="center"/>
    </xf>
    <xf numFmtId="173" fontId="29" fillId="9" borderId="17" xfId="0" applyNumberFormat="1" applyFont="1" applyFill="1" applyBorder="1" applyAlignment="1">
      <alignment vertical="center" wrapText="1"/>
    </xf>
    <xf numFmtId="173" fontId="32" fillId="9" borderId="17" xfId="0" applyNumberFormat="1" applyFont="1" applyFill="1" applyBorder="1" applyAlignment="1">
      <alignment horizontal="left" vertical="center" wrapText="1"/>
    </xf>
    <xf numFmtId="173" fontId="29" fillId="9" borderId="16" xfId="0" applyNumberFormat="1" applyFont="1" applyFill="1" applyBorder="1" applyAlignment="1">
      <alignment vertical="center" wrapText="1"/>
    </xf>
    <xf numFmtId="0" fontId="29" fillId="0" borderId="0" xfId="0" applyFont="1" applyAlignment="1">
      <alignment vertical="center" wrapText="1"/>
    </xf>
    <xf numFmtId="0" fontId="19" fillId="0" borderId="17" xfId="0" applyFont="1" applyBorder="1" applyAlignment="1">
      <alignment vertical="top" wrapText="1"/>
    </xf>
    <xf numFmtId="0" fontId="19" fillId="0" borderId="0" xfId="0" applyFont="1" applyAlignment="1">
      <alignment vertical="center" wrapText="1"/>
    </xf>
    <xf numFmtId="0" fontId="3" fillId="0" borderId="17" xfId="0" applyFont="1" applyBorder="1" applyAlignment="1">
      <alignment vertical="top" wrapText="1"/>
    </xf>
    <xf numFmtId="0" fontId="147" fillId="0" borderId="0" xfId="0" applyFont="1" applyAlignment="1">
      <alignment horizontal="left" vertical="center"/>
    </xf>
    <xf numFmtId="0" fontId="60" fillId="0" borderId="0" xfId="0" applyFont="1" applyAlignment="1">
      <alignment vertical="center"/>
    </xf>
    <xf numFmtId="0" fontId="41" fillId="0" borderId="0" xfId="0" applyFont="1" applyAlignment="1">
      <alignment vertical="top"/>
    </xf>
    <xf numFmtId="0" fontId="0" fillId="0" borderId="0" xfId="0" applyAlignment="1">
      <alignment vertical="top"/>
    </xf>
    <xf numFmtId="0" fontId="46" fillId="7" borderId="0" xfId="0" applyFont="1" applyFill="1" applyAlignment="1">
      <alignment horizontal="left" vertical="top"/>
    </xf>
    <xf numFmtId="0" fontId="0" fillId="5" borderId="0" xfId="0" applyFill="1" applyAlignment="1">
      <alignment horizontal="left" vertical="center"/>
    </xf>
    <xf numFmtId="0" fontId="0" fillId="0" borderId="0" xfId="0" applyAlignment="1">
      <alignment horizontal="left" vertical="center"/>
    </xf>
    <xf numFmtId="0" fontId="50" fillId="0" borderId="0" xfId="0" applyFont="1" applyAlignment="1">
      <alignment horizontal="left" vertical="center"/>
    </xf>
    <xf numFmtId="0" fontId="112" fillId="9" borderId="12" xfId="0" applyFont="1" applyFill="1" applyBorder="1" applyAlignment="1">
      <alignment horizontal="right" vertical="center"/>
    </xf>
    <xf numFmtId="0" fontId="19" fillId="14" borderId="22" xfId="0" quotePrefix="1" applyFont="1" applyFill="1" applyBorder="1" applyAlignment="1" applyProtection="1">
      <alignment horizontal="left" vertical="top" wrapText="1"/>
      <protection locked="0"/>
    </xf>
    <xf numFmtId="0" fontId="6" fillId="0" borderId="10" xfId="0" applyFont="1" applyBorder="1" applyAlignment="1">
      <alignment horizontal="right" vertical="center"/>
    </xf>
    <xf numFmtId="0" fontId="120" fillId="0" borderId="0" xfId="0" applyFont="1" applyAlignment="1">
      <alignment horizontal="center" vertical="center"/>
    </xf>
    <xf numFmtId="0" fontId="32" fillId="15" borderId="39" xfId="0" applyFont="1" applyFill="1" applyBorder="1" applyAlignment="1" applyProtection="1">
      <alignment vertical="top"/>
      <protection locked="0"/>
    </xf>
    <xf numFmtId="0" fontId="32" fillId="17" borderId="47" xfId="0" applyFont="1" applyFill="1" applyBorder="1" applyAlignment="1">
      <alignment horizontal="center" vertical="center"/>
    </xf>
    <xf numFmtId="14" fontId="47" fillId="0" borderId="0" xfId="0" applyNumberFormat="1" applyFont="1" applyAlignment="1">
      <alignment horizontal="left" vertical="center"/>
    </xf>
    <xf numFmtId="0" fontId="3" fillId="0" borderId="19" xfId="0" applyFont="1" applyBorder="1" applyAlignment="1" applyProtection="1">
      <alignment horizontal="left" vertical="center"/>
      <protection locked="0"/>
    </xf>
    <xf numFmtId="178" fontId="6" fillId="0" borderId="0" xfId="0" applyNumberFormat="1" applyFont="1" applyAlignment="1">
      <alignment horizontal="center" vertical="center"/>
    </xf>
    <xf numFmtId="171" fontId="6" fillId="0" borderId="30" xfId="0" applyNumberFormat="1" applyFont="1" applyBorder="1" applyAlignment="1" applyProtection="1">
      <alignment horizontal="center" vertical="center"/>
      <protection locked="0"/>
    </xf>
    <xf numFmtId="173" fontId="6" fillId="0" borderId="19" xfId="0" applyNumberFormat="1" applyFont="1" applyBorder="1" applyAlignment="1" applyProtection="1">
      <alignment horizontal="center" vertical="center"/>
      <protection locked="0"/>
    </xf>
    <xf numFmtId="173" fontId="6" fillId="0" borderId="54" xfId="0" applyNumberFormat="1" applyFont="1" applyBorder="1" applyAlignment="1" applyProtection="1">
      <alignment horizontal="center" vertical="center"/>
      <protection locked="0"/>
    </xf>
    <xf numFmtId="173" fontId="6" fillId="0" borderId="21" xfId="0" applyNumberFormat="1" applyFont="1" applyBorder="1" applyAlignment="1" applyProtection="1">
      <alignment horizontal="center" vertical="center"/>
      <protection locked="0"/>
    </xf>
    <xf numFmtId="173" fontId="6" fillId="0" borderId="27" xfId="0" applyNumberFormat="1" applyFont="1" applyBorder="1" applyAlignment="1" applyProtection="1">
      <alignment horizontal="center" vertical="center"/>
      <protection locked="0"/>
    </xf>
    <xf numFmtId="0" fontId="32" fillId="9" borderId="41" xfId="0" applyFont="1" applyFill="1" applyBorder="1" applyAlignment="1">
      <alignment horizontal="left" vertical="center" wrapText="1"/>
    </xf>
    <xf numFmtId="173" fontId="6" fillId="0" borderId="0" xfId="0" applyNumberFormat="1" applyFont="1" applyAlignment="1" applyProtection="1">
      <alignment horizontal="center" vertical="center"/>
      <protection locked="0"/>
    </xf>
    <xf numFmtId="173" fontId="6" fillId="0" borderId="0" xfId="0" applyNumberFormat="1" applyFont="1" applyAlignment="1">
      <alignment horizontal="center" vertical="center"/>
    </xf>
    <xf numFmtId="173" fontId="3" fillId="9" borderId="52" xfId="0" applyNumberFormat="1" applyFont="1" applyFill="1" applyBorder="1" applyAlignment="1">
      <alignment horizontal="left" vertical="center" wrapText="1"/>
    </xf>
    <xf numFmtId="173" fontId="3" fillId="9" borderId="16" xfId="0" applyNumberFormat="1" applyFont="1" applyFill="1" applyBorder="1" applyAlignment="1">
      <alignment horizontal="center" vertical="center" wrapText="1"/>
    </xf>
    <xf numFmtId="173" fontId="3" fillId="0" borderId="0" xfId="0" applyNumberFormat="1" applyFont="1" applyAlignment="1">
      <alignment horizontal="left" vertical="center"/>
    </xf>
    <xf numFmtId="173" fontId="3" fillId="0" borderId="0" xfId="0" applyNumberFormat="1" applyFont="1" applyAlignment="1">
      <alignment horizontal="right" vertical="center"/>
    </xf>
    <xf numFmtId="173" fontId="32" fillId="14" borderId="18" xfId="0" applyNumberFormat="1" applyFont="1" applyFill="1" applyBorder="1" applyAlignment="1" applyProtection="1">
      <alignment horizontal="center" vertical="center"/>
      <protection locked="0"/>
    </xf>
    <xf numFmtId="0" fontId="29" fillId="0" borderId="0" xfId="0" applyFont="1" applyAlignment="1">
      <alignment horizontal="center"/>
    </xf>
    <xf numFmtId="0" fontId="29" fillId="0" borderId="0" xfId="0" applyFont="1" applyAlignment="1">
      <alignment horizontal="left"/>
    </xf>
    <xf numFmtId="0" fontId="29" fillId="0" borderId="0" xfId="0" quotePrefix="1" applyFont="1"/>
    <xf numFmtId="2" fontId="29" fillId="0" borderId="0" xfId="0" applyNumberFormat="1" applyFont="1" applyAlignment="1">
      <alignment horizontal="center"/>
    </xf>
    <xf numFmtId="2" fontId="41" fillId="0" borderId="0" xfId="0" applyNumberFormat="1" applyFont="1" applyAlignment="1">
      <alignment horizontal="center"/>
    </xf>
    <xf numFmtId="0" fontId="37" fillId="0" borderId="1" xfId="0" applyFont="1" applyBorder="1"/>
    <xf numFmtId="0" fontId="30" fillId="0" borderId="11" xfId="0" applyFont="1" applyBorder="1"/>
    <xf numFmtId="0" fontId="129" fillId="0" borderId="0" xfId="0" applyFont="1" applyAlignment="1">
      <alignment horizontal="right"/>
    </xf>
    <xf numFmtId="0" fontId="37" fillId="0" borderId="0" xfId="0" applyFont="1" applyAlignment="1">
      <alignment horizontal="right"/>
    </xf>
    <xf numFmtId="0" fontId="29" fillId="0" borderId="2" xfId="0" applyFont="1" applyBorder="1" applyAlignment="1">
      <alignment horizontal="center" wrapText="1"/>
    </xf>
    <xf numFmtId="0" fontId="29" fillId="0" borderId="2" xfId="0" applyFont="1" applyBorder="1" applyAlignment="1">
      <alignment horizontal="center"/>
    </xf>
    <xf numFmtId="0" fontId="29" fillId="0" borderId="3" xfId="0" applyFont="1" applyBorder="1" applyAlignment="1">
      <alignment horizontal="left"/>
    </xf>
    <xf numFmtId="0" fontId="30" fillId="0" borderId="3" xfId="0" applyFont="1" applyBorder="1"/>
    <xf numFmtId="0" fontId="29" fillId="2" borderId="0" xfId="0" applyFont="1" applyFill="1" applyAlignment="1">
      <alignment vertical="center"/>
    </xf>
    <xf numFmtId="0" fontId="44" fillId="2" borderId="0" xfId="0" applyFont="1" applyFill="1" applyAlignment="1">
      <alignment vertical="center"/>
    </xf>
    <xf numFmtId="0" fontId="29" fillId="14" borderId="20" xfId="0" applyFont="1" applyFill="1" applyBorder="1" applyProtection="1">
      <protection locked="0"/>
    </xf>
    <xf numFmtId="0" fontId="29" fillId="9" borderId="0" xfId="0" applyFont="1" applyFill="1" applyAlignment="1">
      <alignment horizontal="left" vertical="center"/>
    </xf>
    <xf numFmtId="0" fontId="29" fillId="9" borderId="18" xfId="0" applyFont="1" applyFill="1" applyBorder="1" applyAlignment="1">
      <alignment horizontal="left" vertical="center"/>
    </xf>
    <xf numFmtId="0" fontId="32" fillId="15" borderId="46" xfId="0" applyFont="1" applyFill="1" applyBorder="1" applyAlignment="1" applyProtection="1">
      <alignment vertical="top"/>
      <protection locked="0"/>
    </xf>
    <xf numFmtId="0" fontId="166" fillId="0" borderId="0" xfId="0" applyFont="1" applyAlignment="1">
      <alignment vertical="center"/>
    </xf>
    <xf numFmtId="167" fontId="44" fillId="9" borderId="0" xfId="0" applyNumberFormat="1" applyFont="1" applyFill="1" applyAlignment="1">
      <alignment vertical="center"/>
    </xf>
    <xf numFmtId="0" fontId="57" fillId="0" borderId="0" xfId="0" applyFont="1" applyAlignment="1">
      <alignment horizontal="right" vertical="center"/>
    </xf>
    <xf numFmtId="0" fontId="167" fillId="0" borderId="0" xfId="0" applyFont="1" applyAlignment="1">
      <alignment vertical="center"/>
    </xf>
    <xf numFmtId="0" fontId="168" fillId="0" borderId="0" xfId="0" applyFont="1" applyAlignment="1">
      <alignment vertical="center"/>
    </xf>
    <xf numFmtId="0" fontId="169" fillId="0" borderId="0" xfId="0" applyFont="1" applyAlignment="1">
      <alignment vertical="center"/>
    </xf>
    <xf numFmtId="179" fontId="154" fillId="9" borderId="0" xfId="0" applyNumberFormat="1" applyFont="1" applyFill="1" applyAlignment="1">
      <alignment horizontal="left" vertical="center"/>
    </xf>
    <xf numFmtId="0" fontId="154" fillId="9" borderId="0" xfId="0" applyFont="1" applyFill="1" applyAlignment="1">
      <alignment horizontal="left" vertical="center"/>
    </xf>
    <xf numFmtId="0" fontId="154" fillId="9" borderId="7" xfId="0" applyFont="1" applyFill="1" applyBorder="1" applyAlignment="1">
      <alignment horizontal="left" vertical="center"/>
    </xf>
    <xf numFmtId="0" fontId="154" fillId="9" borderId="12" xfId="0" applyFont="1" applyFill="1" applyBorder="1" applyAlignment="1">
      <alignment horizontal="left" vertical="center"/>
    </xf>
    <xf numFmtId="0" fontId="154" fillId="9" borderId="1" xfId="0" applyFont="1" applyFill="1" applyBorder="1" applyAlignment="1">
      <alignment horizontal="left" vertical="center"/>
    </xf>
    <xf numFmtId="0" fontId="170" fillId="9" borderId="0" xfId="0" applyFont="1" applyFill="1" applyAlignment="1">
      <alignment horizontal="center"/>
    </xf>
    <xf numFmtId="0" fontId="120" fillId="0" borderId="0" xfId="0" applyFont="1" applyAlignment="1">
      <alignment vertical="center"/>
    </xf>
    <xf numFmtId="0" fontId="41" fillId="0" borderId="0" xfId="0" applyFont="1" applyAlignment="1">
      <alignment horizontal="left" vertical="center"/>
    </xf>
    <xf numFmtId="0" fontId="29" fillId="3" borderId="0" xfId="0" applyFont="1" applyFill="1" applyAlignment="1">
      <alignment vertical="center"/>
    </xf>
    <xf numFmtId="0" fontId="33" fillId="3" borderId="3" xfId="0" applyFont="1" applyFill="1" applyBorder="1" applyAlignment="1">
      <alignment vertical="center"/>
    </xf>
    <xf numFmtId="0" fontId="32" fillId="3" borderId="6" xfId="0" applyFont="1" applyFill="1" applyBorder="1" applyAlignment="1">
      <alignment vertical="center"/>
    </xf>
    <xf numFmtId="0" fontId="32" fillId="3" borderId="4" xfId="0" applyFont="1" applyFill="1" applyBorder="1" applyAlignment="1">
      <alignment horizontal="right" vertical="center"/>
    </xf>
    <xf numFmtId="0" fontId="135" fillId="3" borderId="4" xfId="0" applyFont="1" applyFill="1" applyBorder="1" applyAlignment="1">
      <alignment vertical="center"/>
    </xf>
    <xf numFmtId="0" fontId="32" fillId="3" borderId="4" xfId="0" applyFont="1" applyFill="1" applyBorder="1" applyAlignment="1">
      <alignment horizontal="center" vertical="center"/>
    </xf>
    <xf numFmtId="0" fontId="29" fillId="3" borderId="4" xfId="0" applyFont="1" applyFill="1" applyBorder="1" applyAlignment="1">
      <alignment vertical="center"/>
    </xf>
    <xf numFmtId="0" fontId="32" fillId="3" borderId="9" xfId="0" applyFont="1" applyFill="1" applyBorder="1" applyAlignment="1">
      <alignment vertical="center"/>
    </xf>
    <xf numFmtId="0" fontId="32" fillId="3" borderId="5" xfId="0" applyFont="1" applyFill="1" applyBorder="1" applyAlignment="1">
      <alignment vertical="center"/>
    </xf>
    <xf numFmtId="0" fontId="32" fillId="3" borderId="0" xfId="0" applyFont="1" applyFill="1" applyAlignment="1">
      <alignment vertical="center"/>
    </xf>
    <xf numFmtId="0" fontId="29" fillId="3" borderId="0" xfId="0" applyFont="1" applyFill="1" applyAlignment="1">
      <alignment horizontal="right"/>
    </xf>
    <xf numFmtId="172" fontId="109" fillId="3" borderId="0" xfId="0" applyNumberFormat="1" applyFont="1" applyFill="1" applyAlignment="1">
      <alignment vertical="center"/>
    </xf>
    <xf numFmtId="0" fontId="32" fillId="3" borderId="10" xfId="0" applyFont="1" applyFill="1" applyBorder="1" applyAlignment="1">
      <alignment vertical="center"/>
    </xf>
    <xf numFmtId="0" fontId="32" fillId="3" borderId="8" xfId="0" applyFont="1" applyFill="1" applyBorder="1" applyAlignment="1">
      <alignment vertical="center"/>
    </xf>
    <xf numFmtId="0" fontId="29" fillId="3" borderId="3" xfId="0" applyFont="1" applyFill="1" applyBorder="1" applyAlignment="1">
      <alignment vertical="center"/>
    </xf>
    <xf numFmtId="0" fontId="29" fillId="3" borderId="3" xfId="0" applyFont="1" applyFill="1" applyBorder="1" applyAlignment="1">
      <alignment horizontal="right"/>
    </xf>
    <xf numFmtId="172" fontId="110" fillId="3" borderId="3" xfId="0" applyNumberFormat="1" applyFont="1" applyFill="1" applyBorder="1" applyAlignment="1">
      <alignment vertical="center"/>
    </xf>
    <xf numFmtId="0" fontId="32" fillId="3" borderId="11" xfId="0" applyFont="1" applyFill="1" applyBorder="1" applyAlignment="1">
      <alignment vertical="center"/>
    </xf>
    <xf numFmtId="0" fontId="5" fillId="3" borderId="0" xfId="0" applyFont="1" applyFill="1"/>
    <xf numFmtId="0" fontId="0" fillId="3" borderId="0" xfId="0" applyFill="1"/>
    <xf numFmtId="0" fontId="0" fillId="3" borderId="7" xfId="0" applyFill="1" applyBorder="1" applyAlignment="1">
      <alignment horizontal="center"/>
    </xf>
    <xf numFmtId="0" fontId="0" fillId="3" borderId="1" xfId="0" applyFill="1" applyBorder="1" applyAlignment="1">
      <alignment horizontal="center"/>
    </xf>
    <xf numFmtId="0" fontId="0" fillId="3" borderId="12" xfId="0" applyFill="1" applyBorder="1" applyAlignment="1">
      <alignment horizontal="center"/>
    </xf>
    <xf numFmtId="0" fontId="0" fillId="3" borderId="2" xfId="0" applyFill="1" applyBorder="1" applyAlignment="1">
      <alignment horizontal="center"/>
    </xf>
    <xf numFmtId="3" fontId="0" fillId="3" borderId="12" xfId="0" applyNumberFormat="1" applyFill="1" applyBorder="1" applyAlignment="1">
      <alignment horizontal="center"/>
    </xf>
    <xf numFmtId="3" fontId="0" fillId="3" borderId="1" xfId="0" applyNumberFormat="1" applyFill="1" applyBorder="1" applyAlignment="1">
      <alignment horizontal="center"/>
    </xf>
    <xf numFmtId="0" fontId="37" fillId="3" borderId="0" xfId="0" applyFont="1" applyFill="1" applyAlignment="1">
      <alignment vertical="center"/>
    </xf>
    <xf numFmtId="0" fontId="41" fillId="3" borderId="0" xfId="0" applyFont="1" applyFill="1" applyAlignment="1">
      <alignment vertical="center"/>
    </xf>
    <xf numFmtId="0" fontId="29" fillId="3" borderId="6" xfId="0" applyFont="1" applyFill="1" applyBorder="1" applyAlignment="1">
      <alignment vertical="center"/>
    </xf>
    <xf numFmtId="0" fontId="29" fillId="3" borderId="9" xfId="0" applyFont="1" applyFill="1" applyBorder="1" applyAlignment="1">
      <alignment vertical="center"/>
    </xf>
    <xf numFmtId="0" fontId="29" fillId="3" borderId="5" xfId="0" applyFont="1" applyFill="1" applyBorder="1" applyAlignment="1">
      <alignment vertical="center"/>
    </xf>
    <xf numFmtId="0" fontId="29" fillId="3" borderId="10" xfId="0" applyFont="1" applyFill="1" applyBorder="1" applyAlignment="1">
      <alignment vertical="center"/>
    </xf>
    <xf numFmtId="0" fontId="29" fillId="3" borderId="8" xfId="0" applyFont="1" applyFill="1" applyBorder="1" applyAlignment="1">
      <alignment vertical="center"/>
    </xf>
    <xf numFmtId="0" fontId="29" fillId="3" borderId="11" xfId="0" applyFont="1" applyFill="1" applyBorder="1" applyAlignment="1">
      <alignment vertical="center"/>
    </xf>
    <xf numFmtId="0" fontId="120" fillId="0" borderId="5" xfId="0" applyFont="1" applyBorder="1" applyAlignment="1">
      <alignment vertical="center"/>
    </xf>
    <xf numFmtId="0" fontId="143" fillId="14" borderId="0" xfId="0" applyFont="1" applyFill="1" applyAlignment="1" applyProtection="1">
      <alignment vertical="center"/>
      <protection locked="0"/>
    </xf>
    <xf numFmtId="0" fontId="120" fillId="0" borderId="10" xfId="0" applyFont="1" applyBorder="1" applyAlignment="1">
      <alignment vertical="center"/>
    </xf>
    <xf numFmtId="0" fontId="174" fillId="9" borderId="0" xfId="0" applyFont="1" applyFill="1" applyAlignment="1">
      <alignment vertical="center"/>
    </xf>
    <xf numFmtId="0" fontId="177" fillId="0" borderId="0" xfId="0" applyFont="1"/>
    <xf numFmtId="0" fontId="179" fillId="0" borderId="0" xfId="0" applyFont="1"/>
    <xf numFmtId="0" fontId="66" fillId="0" borderId="0" xfId="0" applyFont="1"/>
    <xf numFmtId="0" fontId="29" fillId="0" borderId="7" xfId="0" applyFont="1" applyBorder="1" applyAlignment="1">
      <alignment horizontal="center"/>
    </xf>
    <xf numFmtId="0" fontId="29" fillId="0" borderId="12" xfId="0" applyFont="1" applyBorder="1" applyAlignment="1">
      <alignment horizontal="center"/>
    </xf>
    <xf numFmtId="0" fontId="29" fillId="0" borderId="1" xfId="0" applyFont="1" applyBorder="1" applyAlignment="1">
      <alignment horizontal="center"/>
    </xf>
    <xf numFmtId="0" fontId="136" fillId="0" borderId="12" xfId="0" applyFont="1" applyBorder="1" applyAlignment="1">
      <alignment horizontal="center"/>
    </xf>
    <xf numFmtId="0" fontId="136" fillId="0" borderId="1" xfId="0" applyFont="1" applyBorder="1" applyAlignment="1">
      <alignment horizontal="center"/>
    </xf>
    <xf numFmtId="0" fontId="67" fillId="6" borderId="55" xfId="0" applyFont="1" applyFill="1" applyBorder="1"/>
    <xf numFmtId="0" fontId="67" fillId="6" borderId="56" xfId="0" applyFont="1" applyFill="1" applyBorder="1"/>
    <xf numFmtId="0" fontId="67" fillId="6" borderId="57" xfId="0" applyFont="1" applyFill="1" applyBorder="1"/>
    <xf numFmtId="0" fontId="182" fillId="6" borderId="55" xfId="0" applyFont="1" applyFill="1" applyBorder="1"/>
    <xf numFmtId="0" fontId="182" fillId="6" borderId="56" xfId="0" applyFont="1" applyFill="1" applyBorder="1"/>
    <xf numFmtId="0" fontId="182" fillId="6" borderId="57" xfId="0" applyFont="1" applyFill="1" applyBorder="1"/>
    <xf numFmtId="0" fontId="64" fillId="6" borderId="0" xfId="0" applyFont="1" applyFill="1" applyAlignment="1">
      <alignment vertical="top"/>
    </xf>
    <xf numFmtId="0" fontId="0" fillId="6" borderId="0" xfId="0" applyFill="1" applyAlignment="1">
      <alignment vertical="top"/>
    </xf>
    <xf numFmtId="0" fontId="187" fillId="0" borderId="0" xfId="0" applyFont="1" applyAlignment="1">
      <alignment vertical="center"/>
    </xf>
    <xf numFmtId="0" fontId="3" fillId="0" borderId="0" xfId="0" applyFont="1" applyAlignment="1">
      <alignment horizontal="left" vertical="top"/>
    </xf>
    <xf numFmtId="0" fontId="188" fillId="9" borderId="0" xfId="0" applyFont="1" applyFill="1" applyAlignment="1">
      <alignment horizontal="left" vertical="center"/>
    </xf>
    <xf numFmtId="0" fontId="189" fillId="9" borderId="0" xfId="0" applyFont="1" applyFill="1" applyAlignment="1">
      <alignment vertical="center"/>
    </xf>
    <xf numFmtId="0" fontId="190" fillId="9" borderId="0" xfId="0" applyFont="1" applyFill="1" applyAlignment="1">
      <alignment vertical="center"/>
    </xf>
    <xf numFmtId="0" fontId="191" fillId="9" borderId="0" xfId="0" applyFont="1" applyFill="1" applyAlignment="1">
      <alignment vertical="center"/>
    </xf>
    <xf numFmtId="0" fontId="192" fillId="9" borderId="0" xfId="0" applyFont="1" applyFill="1" applyAlignment="1">
      <alignment vertical="center"/>
    </xf>
    <xf numFmtId="0" fontId="188" fillId="5" borderId="0" xfId="0" applyFont="1" applyFill="1" applyAlignment="1">
      <alignment vertical="center"/>
    </xf>
    <xf numFmtId="0" fontId="193" fillId="0" borderId="0" xfId="0" applyFont="1" applyAlignment="1">
      <alignment horizontal="left"/>
    </xf>
    <xf numFmtId="0" fontId="188" fillId="0" borderId="0" xfId="0" applyFont="1" applyAlignment="1">
      <alignment horizontal="left"/>
    </xf>
    <xf numFmtId="0" fontId="163" fillId="0" borderId="0" xfId="3" applyBorder="1"/>
    <xf numFmtId="0" fontId="29" fillId="0" borderId="0" xfId="0" applyFont="1" applyAlignment="1">
      <alignment wrapText="1"/>
    </xf>
    <xf numFmtId="181" fontId="14" fillId="0" borderId="10" xfId="0" applyNumberFormat="1" applyFont="1" applyBorder="1" applyAlignment="1">
      <alignment horizontal="center" vertical="center"/>
    </xf>
    <xf numFmtId="181" fontId="6" fillId="0" borderId="10" xfId="0" applyNumberFormat="1" applyFont="1" applyBorder="1" applyAlignment="1">
      <alignment horizontal="center" vertical="center"/>
    </xf>
    <xf numFmtId="181" fontId="14" fillId="0" borderId="0" xfId="0" applyNumberFormat="1" applyFont="1" applyAlignment="1">
      <alignment vertical="center"/>
    </xf>
    <xf numFmtId="0" fontId="29" fillId="0" borderId="15" xfId="0" applyFont="1" applyBorder="1" applyAlignment="1">
      <alignment horizontal="center" vertical="top"/>
    </xf>
    <xf numFmtId="0" fontId="29" fillId="0" borderId="9" xfId="0" applyFont="1" applyBorder="1" applyAlignment="1">
      <alignment horizontal="center" vertical="top"/>
    </xf>
    <xf numFmtId="0" fontId="29" fillId="0" borderId="6" xfId="0" applyFont="1" applyBorder="1" applyAlignment="1">
      <alignment horizontal="left" vertical="top"/>
    </xf>
    <xf numFmtId="0" fontId="37" fillId="0" borderId="6" xfId="0" applyFont="1" applyBorder="1" applyAlignment="1">
      <alignment vertical="top"/>
    </xf>
    <xf numFmtId="0" fontId="29" fillId="0" borderId="5" xfId="0" applyFont="1" applyBorder="1" applyAlignment="1">
      <alignment vertical="top"/>
    </xf>
    <xf numFmtId="0" fontId="29" fillId="0" borderId="10" xfId="0" applyFont="1" applyBorder="1" applyAlignment="1">
      <alignment vertical="top"/>
    </xf>
    <xf numFmtId="0" fontId="37" fillId="0" borderId="5" xfId="0" applyFont="1" applyBorder="1" applyAlignment="1">
      <alignment vertical="top"/>
    </xf>
    <xf numFmtId="0" fontId="37" fillId="0" borderId="8" xfId="0" applyFont="1" applyBorder="1" applyAlignment="1">
      <alignment vertical="top"/>
    </xf>
    <xf numFmtId="0" fontId="37" fillId="0" borderId="14" xfId="0" applyFont="1" applyBorder="1" applyAlignment="1">
      <alignment vertical="top"/>
    </xf>
    <xf numFmtId="0" fontId="29" fillId="0" borderId="10" xfId="0" applyFont="1" applyBorder="1" applyAlignment="1">
      <alignment horizontal="center" vertical="top"/>
    </xf>
    <xf numFmtId="0" fontId="29" fillId="0" borderId="11" xfId="0" applyFont="1" applyBorder="1" applyAlignment="1">
      <alignment horizontal="center" vertical="top"/>
    </xf>
    <xf numFmtId="0" fontId="37" fillId="0" borderId="13" xfId="0" applyFont="1" applyBorder="1" applyAlignment="1">
      <alignment vertical="top"/>
    </xf>
    <xf numFmtId="0" fontId="30" fillId="0" borderId="5" xfId="0" applyFont="1" applyBorder="1" applyAlignment="1">
      <alignment horizontal="left" vertical="top"/>
    </xf>
    <xf numFmtId="0" fontId="30" fillId="0" borderId="8" xfId="0" applyFont="1" applyBorder="1" applyAlignment="1">
      <alignment horizontal="left" vertical="top"/>
    </xf>
    <xf numFmtId="0" fontId="30" fillId="0" borderId="6" xfId="0" applyFont="1" applyBorder="1" applyAlignment="1">
      <alignment horizontal="left" vertical="top"/>
    </xf>
    <xf numFmtId="0" fontId="30" fillId="0" borderId="14" xfId="0" applyFont="1" applyBorder="1" applyAlignment="1">
      <alignment horizontal="left" vertical="top"/>
    </xf>
    <xf numFmtId="0" fontId="29" fillId="0" borderId="10" xfId="0" applyFont="1" applyBorder="1" applyAlignment="1">
      <alignment horizontal="left"/>
    </xf>
    <xf numFmtId="0" fontId="29" fillId="0" borderId="11" xfId="0" applyFont="1" applyBorder="1" applyAlignment="1">
      <alignment horizontal="left"/>
    </xf>
    <xf numFmtId="0" fontId="29" fillId="0" borderId="5" xfId="0" applyFont="1" applyBorder="1" applyAlignment="1">
      <alignment horizontal="right"/>
    </xf>
    <xf numFmtId="0" fontId="29" fillId="0" borderId="8" xfId="0" applyFont="1" applyBorder="1" applyAlignment="1">
      <alignment horizontal="right"/>
    </xf>
    <xf numFmtId="0" fontId="95" fillId="0" borderId="0" xfId="0" applyFont="1"/>
    <xf numFmtId="0" fontId="95" fillId="0" borderId="0" xfId="0" applyFont="1" applyAlignment="1">
      <alignment vertical="top" wrapText="1"/>
    </xf>
    <xf numFmtId="0" fontId="96" fillId="0" borderId="0" xfId="0" applyFont="1"/>
    <xf numFmtId="0" fontId="54" fillId="3" borderId="0" xfId="0" applyFont="1" applyFill="1" applyAlignment="1">
      <alignment horizontal="right" vertical="center"/>
    </xf>
    <xf numFmtId="0" fontId="54" fillId="3" borderId="0" xfId="0" applyFont="1" applyFill="1" applyAlignment="1">
      <alignment horizontal="left" vertical="center"/>
    </xf>
    <xf numFmtId="0" fontId="70" fillId="0" borderId="0" xfId="0" applyFont="1" applyAlignment="1">
      <alignment vertical="center"/>
    </xf>
    <xf numFmtId="0" fontId="70" fillId="0" borderId="0" xfId="0" applyFont="1" applyAlignment="1">
      <alignment horizontal="right" vertical="center"/>
    </xf>
    <xf numFmtId="0" fontId="198" fillId="0" borderId="0" xfId="0" applyFont="1" applyAlignment="1">
      <alignment vertical="center"/>
    </xf>
    <xf numFmtId="0" fontId="198" fillId="0" borderId="0" xfId="0" applyFont="1" applyAlignment="1">
      <alignment horizontal="right" vertical="center"/>
    </xf>
    <xf numFmtId="0" fontId="198" fillId="0" borderId="0" xfId="0" applyFont="1" applyAlignment="1">
      <alignment horizontal="left" vertical="center"/>
    </xf>
    <xf numFmtId="0" fontId="198" fillId="5" borderId="0" xfId="0" applyFont="1" applyFill="1" applyAlignment="1">
      <alignment vertical="center"/>
    </xf>
    <xf numFmtId="0" fontId="198" fillId="0" borderId="0" xfId="0" applyFont="1" applyAlignment="1">
      <alignment horizontal="center" vertical="center"/>
    </xf>
    <xf numFmtId="0" fontId="73" fillId="0" borderId="0" xfId="0" applyFont="1" applyAlignment="1">
      <alignment vertical="center"/>
    </xf>
    <xf numFmtId="0" fontId="32" fillId="0" borderId="5" xfId="0" applyFont="1" applyBorder="1" applyAlignment="1">
      <alignment horizontal="left" vertical="center"/>
    </xf>
    <xf numFmtId="0" fontId="202" fillId="19" borderId="0" xfId="0" applyFont="1" applyFill="1" applyAlignment="1">
      <alignment vertical="center"/>
    </xf>
    <xf numFmtId="0" fontId="112" fillId="19" borderId="0" xfId="0" applyFont="1" applyFill="1" applyAlignment="1">
      <alignment vertical="center"/>
    </xf>
    <xf numFmtId="0" fontId="112" fillId="19" borderId="0" xfId="0" applyFont="1" applyFill="1" applyAlignment="1">
      <alignment horizontal="left" vertical="center"/>
    </xf>
    <xf numFmtId="0" fontId="49" fillId="14" borderId="14" xfId="0" applyFont="1" applyFill="1" applyBorder="1" applyAlignment="1" applyProtection="1">
      <alignment horizontal="center" vertical="center" wrapText="1"/>
      <protection locked="0"/>
    </xf>
    <xf numFmtId="0" fontId="49" fillId="14" borderId="13" xfId="0" applyFont="1" applyFill="1" applyBorder="1" applyAlignment="1" applyProtection="1">
      <alignment horizontal="center" vertical="center" wrapText="1"/>
      <protection locked="0"/>
    </xf>
    <xf numFmtId="0" fontId="49" fillId="14" borderId="15" xfId="0" applyFont="1" applyFill="1" applyBorder="1" applyAlignment="1" applyProtection="1">
      <alignment horizontal="center" vertical="center" wrapText="1"/>
      <protection locked="0"/>
    </xf>
    <xf numFmtId="0" fontId="202" fillId="9" borderId="0" xfId="0" applyFont="1" applyFill="1" applyAlignment="1">
      <alignment vertical="center"/>
    </xf>
    <xf numFmtId="0" fontId="203" fillId="9" borderId="0" xfId="0" applyFont="1" applyFill="1" applyAlignment="1">
      <alignment vertical="center"/>
    </xf>
    <xf numFmtId="0" fontId="77" fillId="9" borderId="30" xfId="0" applyFont="1" applyFill="1" applyBorder="1" applyAlignment="1">
      <alignment vertical="center"/>
    </xf>
    <xf numFmtId="0" fontId="77" fillId="9" borderId="28" xfId="0" applyFont="1" applyFill="1" applyBorder="1" applyAlignment="1">
      <alignment vertical="center"/>
    </xf>
    <xf numFmtId="0" fontId="202" fillId="9" borderId="1" xfId="0" applyFont="1" applyFill="1" applyBorder="1" applyAlignment="1">
      <alignment vertical="center"/>
    </xf>
    <xf numFmtId="0" fontId="112" fillId="9" borderId="0" xfId="0" applyFont="1" applyFill="1" applyAlignment="1">
      <alignment vertical="center"/>
    </xf>
    <xf numFmtId="0" fontId="19" fillId="14" borderId="7" xfId="0" applyFont="1" applyFill="1" applyBorder="1" applyAlignment="1">
      <alignment horizontal="center" vertical="center"/>
    </xf>
    <xf numFmtId="0" fontId="120" fillId="0" borderId="5" xfId="0" applyFont="1" applyBorder="1" applyAlignment="1">
      <alignment horizontal="left" vertical="center"/>
    </xf>
    <xf numFmtId="0" fontId="164" fillId="9" borderId="0" xfId="0" applyFont="1" applyFill="1" applyAlignment="1">
      <alignment horizontal="center"/>
    </xf>
    <xf numFmtId="0" fontId="164" fillId="9" borderId="0" xfId="0" applyFont="1" applyFill="1"/>
    <xf numFmtId="0" fontId="120" fillId="9" borderId="0" xfId="0" applyFont="1" applyFill="1" applyAlignment="1">
      <alignment horizontal="left" vertical="center"/>
    </xf>
    <xf numFmtId="0" fontId="150" fillId="0" borderId="0" xfId="0" applyFont="1" applyAlignment="1">
      <alignment horizontal="left" vertical="center"/>
    </xf>
    <xf numFmtId="0" fontId="205" fillId="0" borderId="5" xfId="0" applyFont="1" applyBorder="1" applyAlignment="1">
      <alignment horizontal="left" vertical="center"/>
    </xf>
    <xf numFmtId="0" fontId="150" fillId="0" borderId="0" xfId="0" applyFont="1" applyAlignment="1">
      <alignment horizontal="right" vertical="center"/>
    </xf>
    <xf numFmtId="166" fontId="206" fillId="0" borderId="10" xfId="0" applyNumberFormat="1" applyFont="1" applyBorder="1" applyAlignment="1">
      <alignment horizontal="center" vertical="center"/>
    </xf>
    <xf numFmtId="0" fontId="207" fillId="0" borderId="0" xfId="0" applyFont="1" applyAlignment="1">
      <alignment horizontal="left" vertical="center"/>
    </xf>
    <xf numFmtId="0" fontId="150" fillId="9" borderId="0" xfId="0" applyFont="1" applyFill="1" applyAlignment="1">
      <alignment horizontal="left" vertical="center"/>
    </xf>
    <xf numFmtId="0" fontId="208" fillId="0" borderId="5" xfId="0" applyFont="1" applyBorder="1" applyAlignment="1">
      <alignment horizontal="left" vertical="center"/>
    </xf>
    <xf numFmtId="0" fontId="208" fillId="0" borderId="0" xfId="0" applyFont="1" applyAlignment="1">
      <alignment horizontal="left" vertical="center"/>
    </xf>
    <xf numFmtId="0" fontId="150" fillId="0" borderId="5" xfId="0" applyFont="1" applyBorder="1" applyAlignment="1">
      <alignment horizontal="left" vertical="center"/>
    </xf>
    <xf numFmtId="0" fontId="209" fillId="0" borderId="0" xfId="0" applyFont="1" applyAlignment="1">
      <alignment horizontal="left" vertical="center"/>
    </xf>
    <xf numFmtId="0" fontId="84" fillId="0" borderId="0" xfId="0" applyFont="1" applyAlignment="1">
      <alignment horizontal="left" vertical="center"/>
    </xf>
    <xf numFmtId="0" fontId="211" fillId="5" borderId="6" xfId="0" applyFont="1" applyFill="1" applyBorder="1" applyAlignment="1">
      <alignment horizontal="left" vertical="center"/>
    </xf>
    <xf numFmtId="0" fontId="150" fillId="0" borderId="0" xfId="0" applyFont="1" applyAlignment="1">
      <alignment horizontal="left" vertical="top"/>
    </xf>
    <xf numFmtId="0" fontId="150" fillId="0" borderId="5" xfId="0" applyFont="1" applyBorder="1" applyAlignment="1">
      <alignment horizontal="left" vertical="top"/>
    </xf>
    <xf numFmtId="0" fontId="209" fillId="0" borderId="0" xfId="0" applyFont="1" applyAlignment="1">
      <alignment horizontal="left" vertical="top"/>
    </xf>
    <xf numFmtId="0" fontId="84" fillId="0" borderId="0" xfId="0" applyFont="1" applyAlignment="1">
      <alignment horizontal="left" vertical="top"/>
    </xf>
    <xf numFmtId="0" fontId="150" fillId="0" borderId="0" xfId="0" applyFont="1" applyAlignment="1">
      <alignment horizontal="right" vertical="top"/>
    </xf>
    <xf numFmtId="166" fontId="206" fillId="0" borderId="10" xfId="0" applyNumberFormat="1" applyFont="1" applyBorder="1" applyAlignment="1">
      <alignment horizontal="center" vertical="top"/>
    </xf>
    <xf numFmtId="0" fontId="207" fillId="0" borderId="0" xfId="0" applyFont="1" applyAlignment="1">
      <alignment horizontal="left" vertical="top"/>
    </xf>
    <xf numFmtId="0" fontId="150" fillId="9" borderId="0" xfId="0" applyFont="1" applyFill="1" applyAlignment="1">
      <alignment horizontal="left" vertical="top"/>
    </xf>
    <xf numFmtId="0" fontId="76" fillId="0" borderId="0" xfId="0" applyFont="1" applyAlignment="1">
      <alignment horizontal="left" vertical="center"/>
    </xf>
    <xf numFmtId="171" fontId="6" fillId="0" borderId="0" xfId="0" applyNumberFormat="1" applyFont="1" applyAlignment="1">
      <alignment horizontal="left" vertical="center"/>
    </xf>
    <xf numFmtId="182" fontId="6" fillId="0" borderId="10" xfId="0" applyNumberFormat="1" applyFont="1" applyBorder="1" applyAlignment="1">
      <alignment horizontal="center" vertical="center"/>
    </xf>
    <xf numFmtId="0" fontId="70" fillId="0" borderId="0" xfId="0" applyFont="1" applyAlignment="1">
      <alignment horizontal="left" vertical="center"/>
    </xf>
    <xf numFmtId="0" fontId="3" fillId="0" borderId="5" xfId="0" applyFont="1" applyBorder="1" applyAlignment="1">
      <alignment horizontal="left" vertical="top"/>
    </xf>
    <xf numFmtId="0" fontId="212" fillId="0" borderId="0" xfId="0" applyFont="1" applyAlignment="1">
      <alignment vertical="center"/>
    </xf>
    <xf numFmtId="183" fontId="154" fillId="9" borderId="0" xfId="0" applyNumberFormat="1" applyFont="1" applyFill="1" applyAlignment="1">
      <alignment horizontal="left" vertical="center"/>
    </xf>
    <xf numFmtId="0" fontId="213" fillId="9" borderId="0" xfId="0" applyFont="1" applyFill="1" applyAlignment="1">
      <alignment horizontal="left" vertical="center"/>
    </xf>
    <xf numFmtId="9" fontId="47" fillId="0" borderId="0" xfId="4" applyFont="1" applyFill="1" applyAlignment="1">
      <alignment horizontal="right" vertical="center"/>
    </xf>
    <xf numFmtId="184" fontId="23" fillId="0" borderId="0" xfId="0" applyNumberFormat="1" applyFont="1" applyAlignment="1">
      <alignment vertical="center"/>
    </xf>
    <xf numFmtId="184" fontId="19" fillId="0" borderId="0" xfId="0" applyNumberFormat="1" applyFont="1" applyAlignment="1">
      <alignment vertical="center"/>
    </xf>
    <xf numFmtId="184" fontId="198" fillId="0" borderId="0" xfId="0" applyNumberFormat="1" applyFont="1" applyAlignment="1">
      <alignment vertical="center"/>
    </xf>
    <xf numFmtId="0" fontId="197" fillId="14" borderId="7" xfId="0" applyFont="1" applyFill="1" applyBorder="1" applyAlignment="1" applyProtection="1">
      <alignment horizontal="center" vertical="center"/>
      <protection locked="0"/>
    </xf>
    <xf numFmtId="0" fontId="197" fillId="0" borderId="1" xfId="0" applyFont="1" applyBorder="1" applyAlignment="1">
      <alignment horizontal="center" vertical="center"/>
    </xf>
    <xf numFmtId="0" fontId="19" fillId="0" borderId="7" xfId="0" applyFont="1" applyBorder="1" applyAlignment="1">
      <alignment vertical="center"/>
    </xf>
    <xf numFmtId="0" fontId="95" fillId="7" borderId="0" xfId="0" applyFont="1" applyFill="1" applyAlignment="1">
      <alignment vertical="center"/>
    </xf>
    <xf numFmtId="0" fontId="214" fillId="9" borderId="0" xfId="0" applyFont="1" applyFill="1" applyAlignment="1">
      <alignment vertical="center"/>
    </xf>
    <xf numFmtId="0" fontId="215" fillId="9" borderId="0" xfId="0" applyFont="1" applyFill="1" applyAlignment="1">
      <alignment vertical="center"/>
    </xf>
    <xf numFmtId="0" fontId="21" fillId="0" borderId="10" xfId="0" applyFont="1" applyBorder="1" applyAlignment="1">
      <alignment horizontal="left" vertical="center"/>
    </xf>
    <xf numFmtId="166" fontId="3" fillId="0" borderId="0" xfId="0" applyNumberFormat="1" applyFont="1" applyAlignment="1">
      <alignment horizontal="left" vertical="center"/>
    </xf>
    <xf numFmtId="182" fontId="3" fillId="0" borderId="0" xfId="0" applyNumberFormat="1" applyFont="1" applyAlignment="1">
      <alignment horizontal="left" vertical="center"/>
    </xf>
    <xf numFmtId="0" fontId="204" fillId="0" borderId="3" xfId="0" applyFont="1" applyBorder="1" applyAlignment="1">
      <alignment horizontal="right" vertical="center"/>
    </xf>
    <xf numFmtId="0" fontId="19" fillId="0" borderId="3" xfId="0" applyFont="1" applyBorder="1" applyAlignment="1">
      <alignment horizontal="right"/>
    </xf>
    <xf numFmtId="0" fontId="146" fillId="0" borderId="0" xfId="0" applyFont="1" applyAlignment="1">
      <alignment vertical="top"/>
    </xf>
    <xf numFmtId="0" fontId="71" fillId="6" borderId="0" xfId="0" applyFont="1" applyFill="1" applyAlignment="1">
      <alignment vertical="top"/>
    </xf>
    <xf numFmtId="0" fontId="0" fillId="8" borderId="0" xfId="0" applyFill="1" applyAlignment="1">
      <alignment vertical="top"/>
    </xf>
    <xf numFmtId="0" fontId="65" fillId="8" borderId="0" xfId="0" applyFont="1" applyFill="1" applyAlignment="1">
      <alignment vertical="top"/>
    </xf>
    <xf numFmtId="0" fontId="128" fillId="0" borderId="0" xfId="0" applyFont="1" applyAlignment="1">
      <alignment horizontal="left" vertical="top"/>
    </xf>
    <xf numFmtId="0" fontId="67" fillId="6" borderId="56" xfId="0" applyFont="1" applyFill="1" applyBorder="1" applyAlignment="1">
      <alignment vertical="top"/>
    </xf>
    <xf numFmtId="0" fontId="67" fillId="6" borderId="57" xfId="0" applyFont="1" applyFill="1" applyBorder="1" applyAlignment="1">
      <alignment vertical="top"/>
    </xf>
    <xf numFmtId="0" fontId="65" fillId="6" borderId="0" xfId="0" applyFont="1" applyFill="1" applyAlignment="1">
      <alignment vertical="top"/>
    </xf>
    <xf numFmtId="0" fontId="219" fillId="0" borderId="0" xfId="0" applyFont="1" applyAlignment="1">
      <alignment vertical="center"/>
    </xf>
    <xf numFmtId="0" fontId="220" fillId="6" borderId="55" xfId="0" applyFont="1" applyFill="1" applyBorder="1"/>
    <xf numFmtId="0" fontId="221" fillId="0" borderId="0" xfId="0" applyFont="1" applyAlignment="1">
      <alignment vertical="center"/>
    </xf>
    <xf numFmtId="0" fontId="221" fillId="0" borderId="0" xfId="0" applyFont="1"/>
    <xf numFmtId="0" fontId="222" fillId="6" borderId="0" xfId="0" applyFont="1" applyFill="1" applyAlignment="1">
      <alignment vertical="top"/>
    </xf>
    <xf numFmtId="0" fontId="223" fillId="6" borderId="0" xfId="0" applyFont="1" applyFill="1"/>
    <xf numFmtId="0" fontId="221" fillId="8" borderId="0" xfId="0" applyFont="1" applyFill="1"/>
    <xf numFmtId="0" fontId="224" fillId="8" borderId="0" xfId="0" applyFont="1" applyFill="1"/>
    <xf numFmtId="0" fontId="224" fillId="6" borderId="0" xfId="0" applyFont="1" applyFill="1"/>
    <xf numFmtId="0" fontId="221" fillId="6" borderId="0" xfId="0" applyFont="1" applyFill="1"/>
    <xf numFmtId="0" fontId="220" fillId="6" borderId="56" xfId="0" applyFont="1" applyFill="1" applyBorder="1"/>
    <xf numFmtId="0" fontId="220" fillId="6" borderId="56" xfId="0" applyFont="1" applyFill="1" applyBorder="1" applyAlignment="1">
      <alignment vertical="top"/>
    </xf>
    <xf numFmtId="0" fontId="220" fillId="6" borderId="57" xfId="0" applyFont="1" applyFill="1" applyBorder="1"/>
    <xf numFmtId="0" fontId="225" fillId="0" borderId="0" xfId="0" applyFont="1" applyAlignment="1">
      <alignment horizontal="left" vertical="center"/>
    </xf>
    <xf numFmtId="0" fontId="221" fillId="0" borderId="0" xfId="0" applyFont="1" applyAlignment="1">
      <alignment horizontal="left" vertical="center"/>
    </xf>
    <xf numFmtId="0" fontId="226" fillId="0" borderId="0" xfId="0" applyFont="1" applyAlignment="1">
      <alignment vertical="center"/>
    </xf>
    <xf numFmtId="0" fontId="146" fillId="10" borderId="0" xfId="0" applyFont="1" applyFill="1" applyAlignment="1">
      <alignment vertical="center"/>
    </xf>
    <xf numFmtId="0" fontId="219" fillId="10" borderId="0" xfId="0" applyFont="1" applyFill="1" applyAlignment="1">
      <alignment vertical="center"/>
    </xf>
    <xf numFmtId="0" fontId="221" fillId="10" borderId="0" xfId="0" applyFont="1" applyFill="1" applyAlignment="1">
      <alignment vertical="center"/>
    </xf>
    <xf numFmtId="0" fontId="187" fillId="10" borderId="0" xfId="0" applyFont="1" applyFill="1" applyAlignment="1">
      <alignment vertical="center"/>
    </xf>
    <xf numFmtId="0" fontId="221" fillId="10" borderId="0" xfId="0" applyFont="1" applyFill="1"/>
    <xf numFmtId="0" fontId="227" fillId="6" borderId="0" xfId="0" applyFont="1" applyFill="1" applyAlignment="1">
      <alignment vertical="top"/>
    </xf>
    <xf numFmtId="0" fontId="229" fillId="0" borderId="0" xfId="0" applyFont="1" applyAlignment="1">
      <alignment vertical="top" wrapText="1"/>
    </xf>
    <xf numFmtId="0" fontId="50" fillId="0" borderId="0" xfId="0" applyFont="1" applyAlignment="1">
      <alignment horizontal="left" vertical="top"/>
    </xf>
    <xf numFmtId="0" fontId="50" fillId="8" borderId="0" xfId="0" applyFont="1" applyFill="1" applyAlignment="1">
      <alignment vertical="top"/>
    </xf>
    <xf numFmtId="0" fontId="64" fillId="6" borderId="0" xfId="0" applyFont="1" applyFill="1" applyAlignment="1">
      <alignment vertical="center"/>
    </xf>
    <xf numFmtId="0" fontId="71" fillId="6" borderId="0" xfId="0" applyFont="1" applyFill="1" applyAlignment="1">
      <alignment vertical="center"/>
    </xf>
    <xf numFmtId="0" fontId="0" fillId="8" borderId="0" xfId="0" applyFill="1" applyAlignment="1">
      <alignment vertical="center"/>
    </xf>
    <xf numFmtId="0" fontId="65" fillId="8" borderId="0" xfId="0" applyFont="1" applyFill="1" applyAlignment="1">
      <alignment vertical="center"/>
    </xf>
    <xf numFmtId="0" fontId="65" fillId="6" borderId="0" xfId="0" applyFont="1" applyFill="1" applyAlignment="1">
      <alignment vertical="center"/>
    </xf>
    <xf numFmtId="0" fontId="0" fillId="6" borderId="0" xfId="0" applyFill="1" applyAlignment="1">
      <alignment vertical="center"/>
    </xf>
    <xf numFmtId="0" fontId="228" fillId="6" borderId="0" xfId="0" applyFont="1" applyFill="1" applyAlignment="1">
      <alignment vertical="center"/>
    </xf>
    <xf numFmtId="0" fontId="23" fillId="5" borderId="29" xfId="0" applyFont="1" applyFill="1" applyBorder="1" applyAlignment="1">
      <alignment vertical="center"/>
    </xf>
    <xf numFmtId="0" fontId="19" fillId="5" borderId="29" xfId="0" applyFont="1" applyFill="1" applyBorder="1" applyAlignment="1">
      <alignment horizontal="left" vertical="center"/>
    </xf>
    <xf numFmtId="0" fontId="19" fillId="5" borderId="29" xfId="0" applyFont="1" applyFill="1" applyBorder="1" applyAlignment="1">
      <alignment vertical="center"/>
    </xf>
    <xf numFmtId="0" fontId="46" fillId="5" borderId="29" xfId="0" applyFont="1" applyFill="1" applyBorder="1" applyAlignment="1">
      <alignment vertical="center"/>
    </xf>
    <xf numFmtId="0" fontId="53" fillId="6" borderId="0" xfId="0" applyFont="1" applyFill="1" applyAlignment="1">
      <alignment vertical="center"/>
    </xf>
    <xf numFmtId="0" fontId="124" fillId="0" borderId="0" xfId="0" applyFont="1" applyAlignment="1">
      <alignment vertical="center"/>
    </xf>
    <xf numFmtId="0" fontId="46" fillId="7" borderId="0" xfId="0" applyFont="1" applyFill="1" applyAlignment="1">
      <alignment horizontal="left" vertical="center"/>
    </xf>
    <xf numFmtId="0" fontId="182" fillId="6" borderId="0" xfId="0" applyFont="1" applyFill="1" applyAlignment="1">
      <alignment vertical="center"/>
    </xf>
    <xf numFmtId="0" fontId="19" fillId="14" borderId="29" xfId="0" applyFont="1" applyFill="1" applyBorder="1" applyAlignment="1" applyProtection="1">
      <alignment horizontal="left" vertical="center"/>
      <protection locked="0"/>
    </xf>
    <xf numFmtId="0" fontId="171" fillId="6" borderId="0" xfId="0" applyFont="1" applyFill="1" applyAlignment="1">
      <alignment vertical="center"/>
    </xf>
    <xf numFmtId="0" fontId="146" fillId="0" borderId="0" xfId="0" applyFont="1" applyAlignment="1">
      <alignment horizontal="left" vertical="center"/>
    </xf>
    <xf numFmtId="0" fontId="163" fillId="6" borderId="0" xfId="3" applyFill="1" applyAlignment="1">
      <alignment vertical="center"/>
    </xf>
    <xf numFmtId="0" fontId="183" fillId="6" borderId="0" xfId="0" applyFont="1" applyFill="1" applyAlignment="1">
      <alignment vertical="center"/>
    </xf>
    <xf numFmtId="0" fontId="161" fillId="6" borderId="0" xfId="0" applyFont="1" applyFill="1" applyAlignment="1">
      <alignment vertical="center"/>
    </xf>
    <xf numFmtId="0" fontId="162" fillId="6" borderId="0" xfId="0" applyFont="1" applyFill="1" applyAlignment="1">
      <alignment vertical="center"/>
    </xf>
    <xf numFmtId="0" fontId="124" fillId="0" borderId="0" xfId="0" applyFont="1" applyAlignment="1">
      <alignment horizontal="left" vertical="center"/>
    </xf>
    <xf numFmtId="0" fontId="16" fillId="0" borderId="0" xfId="0" applyFont="1" applyAlignment="1">
      <alignment vertical="center"/>
    </xf>
    <xf numFmtId="0" fontId="67" fillId="6" borderId="0" xfId="0" applyFont="1" applyFill="1" applyAlignment="1">
      <alignment vertical="center"/>
    </xf>
    <xf numFmtId="0" fontId="69" fillId="6" borderId="0" xfId="0" applyFont="1" applyFill="1" applyAlignment="1">
      <alignment vertical="center"/>
    </xf>
    <xf numFmtId="0" fontId="47" fillId="14" borderId="28" xfId="0" applyFont="1" applyFill="1" applyBorder="1" applyAlignment="1" applyProtection="1">
      <alignment horizontal="left" vertical="center"/>
      <protection locked="0"/>
    </xf>
    <xf numFmtId="49" fontId="47" fillId="14" borderId="29" xfId="0" quotePrefix="1" applyNumberFormat="1" applyFont="1" applyFill="1" applyBorder="1" applyAlignment="1" applyProtection="1">
      <alignment horizontal="left" vertical="center"/>
      <protection locked="0"/>
    </xf>
    <xf numFmtId="0" fontId="47" fillId="14" borderId="29" xfId="0" applyFont="1" applyFill="1" applyBorder="1" applyAlignment="1" applyProtection="1">
      <alignment horizontal="left" vertical="center"/>
      <protection locked="0"/>
    </xf>
    <xf numFmtId="0" fontId="67" fillId="0" borderId="0" xfId="0" applyFont="1" applyAlignment="1">
      <alignment vertical="center"/>
    </xf>
    <xf numFmtId="0" fontId="68" fillId="0" borderId="0" xfId="0" applyFont="1" applyAlignment="1">
      <alignment horizontal="left" vertical="center"/>
    </xf>
    <xf numFmtId="0" fontId="47" fillId="0" borderId="0" xfId="0" applyFont="1" applyAlignment="1">
      <alignment horizontal="left" vertical="center"/>
    </xf>
    <xf numFmtId="0" fontId="227" fillId="6" borderId="0" xfId="0" applyFont="1" applyFill="1" applyAlignment="1">
      <alignment vertical="center"/>
    </xf>
    <xf numFmtId="180" fontId="47" fillId="14" borderId="28" xfId="0" quotePrefix="1" applyNumberFormat="1" applyFont="1" applyFill="1" applyBorder="1" applyAlignment="1" applyProtection="1">
      <alignment horizontal="left" vertical="center"/>
      <protection locked="0"/>
    </xf>
    <xf numFmtId="0" fontId="227" fillId="8" borderId="0" xfId="0" applyFont="1" applyFill="1" applyAlignment="1">
      <alignment vertical="center"/>
    </xf>
    <xf numFmtId="180" fontId="47" fillId="14" borderId="29" xfId="0" quotePrefix="1" applyNumberFormat="1" applyFont="1" applyFill="1" applyBorder="1" applyAlignment="1" applyProtection="1">
      <alignment horizontal="left" vertical="center"/>
      <protection locked="0"/>
    </xf>
    <xf numFmtId="0" fontId="183" fillId="0" borderId="0" xfId="0" applyFont="1" applyAlignment="1">
      <alignment vertical="center"/>
    </xf>
    <xf numFmtId="0" fontId="47" fillId="15" borderId="28" xfId="0" applyFont="1" applyFill="1" applyBorder="1" applyAlignment="1" applyProtection="1">
      <alignment horizontal="left" vertical="center"/>
      <protection locked="0"/>
    </xf>
    <xf numFmtId="0" fontId="231" fillId="6" borderId="0" xfId="0" applyFont="1" applyFill="1" applyAlignment="1">
      <alignment vertical="center"/>
    </xf>
    <xf numFmtId="0" fontId="150" fillId="5" borderId="29" xfId="0" applyFont="1" applyFill="1" applyBorder="1" applyAlignment="1">
      <alignment horizontal="left" vertical="center"/>
    </xf>
    <xf numFmtId="0" fontId="70" fillId="5" borderId="29" xfId="0" applyFont="1" applyFill="1" applyBorder="1" applyAlignment="1">
      <alignment vertical="center"/>
    </xf>
    <xf numFmtId="0" fontId="158" fillId="0" borderId="0" xfId="0" applyFont="1" applyAlignment="1">
      <alignment vertical="center"/>
    </xf>
    <xf numFmtId="0" fontId="159" fillId="0" borderId="0" xfId="0" applyFont="1" applyAlignment="1">
      <alignment horizontal="left" vertical="center"/>
    </xf>
    <xf numFmtId="0" fontId="159" fillId="0" borderId="0" xfId="0" applyFont="1" applyAlignment="1">
      <alignment vertical="center"/>
    </xf>
    <xf numFmtId="0" fontId="160" fillId="0" borderId="0" xfId="0" applyFont="1" applyAlignment="1">
      <alignment vertical="center"/>
    </xf>
    <xf numFmtId="0" fontId="186" fillId="8" borderId="0" xfId="0" applyFont="1" applyFill="1" applyAlignment="1">
      <alignment vertical="center"/>
    </xf>
    <xf numFmtId="0" fontId="64" fillId="8" borderId="0" xfId="0" applyFont="1" applyFill="1" applyAlignment="1">
      <alignment vertical="center"/>
    </xf>
    <xf numFmtId="0" fontId="182" fillId="8" borderId="0" xfId="0" applyFont="1" applyFill="1" applyAlignment="1">
      <alignment vertical="center"/>
    </xf>
    <xf numFmtId="0" fontId="67" fillId="6" borderId="55" xfId="0" applyFont="1" applyFill="1" applyBorder="1" applyAlignment="1">
      <alignment vertical="center"/>
    </xf>
    <xf numFmtId="0" fontId="67" fillId="6" borderId="56" xfId="0" applyFont="1" applyFill="1" applyBorder="1" applyAlignment="1">
      <alignment vertical="center"/>
    </xf>
    <xf numFmtId="0" fontId="67" fillId="6" borderId="57" xfId="0" applyFont="1" applyFill="1" applyBorder="1" applyAlignment="1">
      <alignment vertical="center"/>
    </xf>
    <xf numFmtId="0" fontId="185" fillId="6" borderId="0" xfId="0" applyFont="1" applyFill="1" applyAlignment="1">
      <alignment vertical="center"/>
    </xf>
    <xf numFmtId="0" fontId="65" fillId="6" borderId="0" xfId="0" applyFont="1" applyFill="1" applyAlignment="1">
      <alignment horizontal="center" vertical="center"/>
    </xf>
    <xf numFmtId="0" fontId="183" fillId="2" borderId="0" xfId="0" applyFont="1" applyFill="1" applyAlignment="1">
      <alignment vertical="center"/>
    </xf>
    <xf numFmtId="0" fontId="41" fillId="0" borderId="0" xfId="0" quotePrefix="1" applyFont="1" applyAlignment="1">
      <alignment vertical="center"/>
    </xf>
    <xf numFmtId="0" fontId="184" fillId="6" borderId="0" xfId="0" applyFont="1" applyFill="1" applyAlignment="1">
      <alignment vertical="center"/>
    </xf>
    <xf numFmtId="0" fontId="182" fillId="6" borderId="55" xfId="0" applyFont="1" applyFill="1" applyBorder="1" applyAlignment="1">
      <alignment vertical="center"/>
    </xf>
    <xf numFmtId="0" fontId="182" fillId="6" borderId="56" xfId="0" applyFont="1" applyFill="1" applyBorder="1" applyAlignment="1">
      <alignment vertical="center"/>
    </xf>
    <xf numFmtId="0" fontId="182" fillId="6" borderId="57" xfId="0" applyFont="1" applyFill="1" applyBorder="1" applyAlignment="1">
      <alignment vertical="center"/>
    </xf>
    <xf numFmtId="0" fontId="5" fillId="5" borderId="29" xfId="0" applyFont="1" applyFill="1" applyBorder="1" applyAlignment="1">
      <alignment vertical="center"/>
    </xf>
    <xf numFmtId="0" fontId="216" fillId="0" borderId="0" xfId="0" applyFont="1" applyAlignment="1">
      <alignment vertical="center"/>
    </xf>
    <xf numFmtId="0" fontId="47" fillId="14" borderId="29" xfId="0" quotePrefix="1" applyFont="1" applyFill="1" applyBorder="1" applyAlignment="1" applyProtection="1">
      <alignment horizontal="left" vertical="center"/>
      <protection locked="0"/>
    </xf>
    <xf numFmtId="0" fontId="216" fillId="0" borderId="0" xfId="0" applyFont="1" applyAlignment="1">
      <alignment horizontal="left" vertical="center"/>
    </xf>
    <xf numFmtId="0" fontId="47" fillId="15" borderId="30" xfId="0" applyFont="1" applyFill="1" applyBorder="1" applyAlignment="1" applyProtection="1">
      <alignment horizontal="left" vertical="center"/>
      <protection locked="0"/>
    </xf>
    <xf numFmtId="0" fontId="124" fillId="0" borderId="0" xfId="0" applyFont="1" applyAlignment="1">
      <alignment vertical="center" wrapText="1"/>
    </xf>
    <xf numFmtId="0" fontId="146" fillId="0" borderId="0" xfId="0" applyFont="1" applyAlignment="1">
      <alignment vertical="center" wrapText="1"/>
    </xf>
    <xf numFmtId="49" fontId="19" fillId="14" borderId="28" xfId="0" quotePrefix="1" applyNumberFormat="1" applyFont="1" applyFill="1" applyBorder="1" applyAlignment="1" applyProtection="1">
      <alignment horizontal="left" vertical="center"/>
      <protection locked="0"/>
    </xf>
    <xf numFmtId="0" fontId="146" fillId="0" borderId="0" xfId="0" applyFont="1" applyAlignment="1">
      <alignment horizontal="left" vertical="center" indent="1"/>
    </xf>
    <xf numFmtId="0" fontId="47" fillId="15" borderId="29" xfId="0" applyFont="1" applyFill="1" applyBorder="1" applyAlignment="1" applyProtection="1">
      <alignment horizontal="left" vertical="top" wrapText="1"/>
      <protection locked="0"/>
    </xf>
    <xf numFmtId="0" fontId="128" fillId="0" borderId="0" xfId="0" applyFont="1" applyAlignment="1">
      <alignment horizontal="right" vertical="top"/>
    </xf>
    <xf numFmtId="0" fontId="41" fillId="0" borderId="0" xfId="0" applyFont="1" applyAlignment="1">
      <alignment vertical="top" wrapText="1"/>
    </xf>
    <xf numFmtId="0" fontId="67" fillId="6" borderId="0" xfId="0" applyFont="1" applyFill="1" applyAlignment="1">
      <alignment vertical="top"/>
    </xf>
    <xf numFmtId="0" fontId="227" fillId="8" borderId="0" xfId="0" applyFont="1" applyFill="1" applyAlignment="1">
      <alignment vertical="top"/>
    </xf>
    <xf numFmtId="0" fontId="146" fillId="0" borderId="0" xfId="0" applyFont="1" applyAlignment="1">
      <alignment horizontal="left" vertical="top" indent="1"/>
    </xf>
    <xf numFmtId="0" fontId="124" fillId="0" borderId="0" xfId="0" applyFont="1" applyAlignment="1">
      <alignment horizontal="left" vertical="center" indent="1"/>
    </xf>
    <xf numFmtId="0" fontId="229" fillId="0" borderId="0" xfId="0" applyFont="1" applyAlignment="1">
      <alignment horizontal="left" vertical="center" indent="1"/>
    </xf>
    <xf numFmtId="0" fontId="124" fillId="0" borderId="0" xfId="0" applyFont="1" applyAlignment="1">
      <alignment horizontal="left" vertical="center" wrapText="1" indent="1"/>
    </xf>
    <xf numFmtId="0" fontId="0" fillId="0" borderId="0" xfId="0" applyAlignment="1">
      <alignment horizontal="left" vertical="center" indent="1"/>
    </xf>
    <xf numFmtId="0" fontId="64" fillId="6" borderId="0" xfId="0" applyFont="1" applyFill="1" applyAlignment="1">
      <alignment horizontal="left" vertical="center" indent="1"/>
    </xf>
    <xf numFmtId="0" fontId="71" fillId="6" borderId="0" xfId="0" applyFont="1" applyFill="1" applyAlignment="1">
      <alignment horizontal="left" vertical="center" indent="1"/>
    </xf>
    <xf numFmtId="0" fontId="65" fillId="8" borderId="0" xfId="0" applyFont="1" applyFill="1" applyAlignment="1">
      <alignment horizontal="left" vertical="center" indent="1"/>
    </xf>
    <xf numFmtId="0" fontId="0" fillId="6" borderId="0" xfId="0" applyFill="1" applyAlignment="1">
      <alignment horizontal="left" vertical="center" indent="1"/>
    </xf>
    <xf numFmtId="0" fontId="227" fillId="6" borderId="0" xfId="0" applyFont="1" applyFill="1" applyAlignment="1">
      <alignment horizontal="left" vertical="center" indent="1"/>
    </xf>
    <xf numFmtId="0" fontId="50" fillId="6" borderId="0" xfId="0" applyFont="1" applyFill="1" applyAlignment="1">
      <alignment horizontal="left" vertical="center" indent="1"/>
    </xf>
    <xf numFmtId="0" fontId="232" fillId="6" borderId="0" xfId="0" applyFont="1" applyFill="1" applyAlignment="1">
      <alignment vertical="center"/>
    </xf>
    <xf numFmtId="171" fontId="6" fillId="14" borderId="30" xfId="0" applyNumberFormat="1" applyFont="1" applyFill="1" applyBorder="1" applyAlignment="1" applyProtection="1">
      <alignment horizontal="center" vertical="center"/>
      <protection locked="0"/>
    </xf>
    <xf numFmtId="0" fontId="6" fillId="14" borderId="29" xfId="0" applyFont="1" applyFill="1" applyBorder="1" applyAlignment="1" applyProtection="1">
      <alignment horizontal="center" vertical="center"/>
      <protection locked="0"/>
    </xf>
    <xf numFmtId="0" fontId="3" fillId="14" borderId="43" xfId="0" applyFont="1" applyFill="1" applyBorder="1" applyAlignment="1" applyProtection="1">
      <alignment horizontal="center" vertical="center"/>
      <protection locked="0"/>
    </xf>
    <xf numFmtId="0" fontId="3" fillId="14" borderId="44" xfId="0" applyFont="1" applyFill="1" applyBorder="1" applyAlignment="1" applyProtection="1">
      <alignment horizontal="center" vertical="center"/>
      <protection locked="0"/>
    </xf>
    <xf numFmtId="0" fontId="6" fillId="15" borderId="10" xfId="0" applyFont="1" applyFill="1" applyBorder="1" applyAlignment="1" applyProtection="1">
      <alignment horizontal="center" vertical="center"/>
      <protection locked="0"/>
    </xf>
    <xf numFmtId="0" fontId="41" fillId="0" borderId="0" xfId="0" applyFont="1" applyAlignment="1">
      <alignment horizontal="left" vertical="top"/>
    </xf>
    <xf numFmtId="0" fontId="0" fillId="0" borderId="0" xfId="0" applyAlignment="1">
      <alignment horizontal="right" vertical="top"/>
    </xf>
    <xf numFmtId="0" fontId="76" fillId="0" borderId="0" xfId="0" applyFont="1" applyAlignment="1">
      <alignment horizontal="right" vertical="top"/>
    </xf>
    <xf numFmtId="0" fontId="235" fillId="0" borderId="0" xfId="0" applyFont="1" applyAlignment="1">
      <alignment horizontal="right" vertical="top" wrapText="1"/>
    </xf>
    <xf numFmtId="0" fontId="236" fillId="0" borderId="0" xfId="0" applyFont="1" applyAlignment="1">
      <alignment horizontal="right" vertical="top"/>
    </xf>
    <xf numFmtId="0" fontId="236" fillId="0" borderId="0" xfId="0" applyFont="1" applyAlignment="1">
      <alignment horizontal="right" vertical="top" indent="1"/>
    </xf>
    <xf numFmtId="0" fontId="236" fillId="0" borderId="0" xfId="0" applyFont="1" applyAlignment="1">
      <alignment vertical="center"/>
    </xf>
    <xf numFmtId="0" fontId="76" fillId="0" borderId="0" xfId="0" applyFont="1" applyAlignment="1">
      <alignment horizontal="right" vertical="center"/>
    </xf>
    <xf numFmtId="0" fontId="76" fillId="0" borderId="0" xfId="0" applyFont="1" applyAlignment="1">
      <alignment horizontal="left" vertical="top"/>
    </xf>
    <xf numFmtId="0" fontId="65" fillId="20" borderId="0" xfId="0" applyFont="1" applyFill="1" applyAlignment="1">
      <alignment vertical="center"/>
    </xf>
    <xf numFmtId="0" fontId="65" fillId="20" borderId="0" xfId="0" applyFont="1" applyFill="1" applyAlignment="1">
      <alignment horizontal="left" vertical="center"/>
    </xf>
    <xf numFmtId="0" fontId="227" fillId="6" borderId="0" xfId="0" applyFont="1" applyFill="1" applyAlignment="1">
      <alignment horizontal="left" vertical="center"/>
    </xf>
    <xf numFmtId="0" fontId="237" fillId="8" borderId="0" xfId="0" applyFont="1" applyFill="1" applyAlignment="1">
      <alignment vertical="center"/>
    </xf>
    <xf numFmtId="0" fontId="182" fillId="21" borderId="0" xfId="0" applyFont="1" applyFill="1" applyAlignment="1">
      <alignment vertical="center"/>
    </xf>
    <xf numFmtId="0" fontId="238" fillId="8" borderId="0" xfId="0" applyFont="1" applyFill="1" applyAlignment="1">
      <alignment vertical="center"/>
    </xf>
    <xf numFmtId="0" fontId="238" fillId="8" borderId="0" xfId="0" applyFont="1" applyFill="1" applyAlignment="1">
      <alignment vertical="top"/>
    </xf>
    <xf numFmtId="0" fontId="239" fillId="8" borderId="0" xfId="0" applyFont="1" applyFill="1" applyAlignment="1">
      <alignment vertical="center"/>
    </xf>
    <xf numFmtId="0" fontId="65" fillId="20" borderId="0" xfId="0" applyFont="1" applyFill="1" applyAlignment="1">
      <alignment horizontal="left" vertical="top"/>
    </xf>
    <xf numFmtId="0" fontId="238" fillId="8" borderId="0" xfId="0" applyFont="1" applyFill="1" applyAlignment="1">
      <alignment horizontal="left" vertical="center" indent="1"/>
    </xf>
    <xf numFmtId="0" fontId="181" fillId="20" borderId="0" xfId="0" applyFont="1" applyFill="1" applyAlignment="1">
      <alignment vertical="center"/>
    </xf>
    <xf numFmtId="0" fontId="0" fillId="6" borderId="0" xfId="0" applyFill="1" applyAlignment="1">
      <alignment horizontal="left" vertical="center"/>
    </xf>
    <xf numFmtId="0" fontId="47" fillId="3" borderId="0" xfId="0" applyFont="1" applyFill="1" applyAlignment="1">
      <alignment horizontal="left" vertical="center"/>
    </xf>
    <xf numFmtId="0" fontId="0" fillId="0" borderId="29" xfId="0" applyBorder="1" applyAlignment="1">
      <alignment vertical="center"/>
    </xf>
    <xf numFmtId="0" fontId="47" fillId="0" borderId="29" xfId="0" applyFont="1" applyBorder="1" applyAlignment="1">
      <alignment horizontal="left" vertical="center"/>
    </xf>
    <xf numFmtId="0" fontId="218" fillId="0" borderId="0" xfId="0" applyFont="1" applyAlignment="1">
      <alignment horizontal="left" vertical="top"/>
    </xf>
    <xf numFmtId="0" fontId="124" fillId="0" borderId="29" xfId="0" applyFont="1" applyBorder="1" applyAlignment="1">
      <alignment vertical="center" wrapText="1"/>
    </xf>
    <xf numFmtId="0" fontId="152" fillId="0" borderId="0" xfId="0" applyFont="1" applyAlignment="1">
      <alignment horizontal="left" vertical="center"/>
    </xf>
    <xf numFmtId="0" fontId="47" fillId="0" borderId="30" xfId="0" applyFont="1" applyBorder="1" applyAlignment="1">
      <alignment horizontal="left" vertical="center"/>
    </xf>
    <xf numFmtId="0" fontId="46" fillId="7" borderId="17" xfId="0" applyFont="1" applyFill="1" applyBorder="1" applyAlignment="1">
      <alignment horizontal="left" vertical="center"/>
    </xf>
    <xf numFmtId="0" fontId="0" fillId="0" borderId="17" xfId="0" applyBorder="1" applyAlignment="1">
      <alignment vertical="center"/>
    </xf>
    <xf numFmtId="0" fontId="46" fillId="7" borderId="21" xfId="0" applyFont="1" applyFill="1" applyBorder="1" applyAlignment="1">
      <alignment horizontal="left" vertical="center"/>
    </xf>
    <xf numFmtId="0" fontId="46" fillId="7" borderId="17" xfId="0" applyFont="1" applyFill="1" applyBorder="1" applyAlignment="1">
      <alignment vertical="center"/>
    </xf>
    <xf numFmtId="0" fontId="46" fillId="7" borderId="17" xfId="0" applyFont="1" applyFill="1" applyBorder="1" applyAlignment="1">
      <alignment horizontal="left" vertical="top"/>
    </xf>
    <xf numFmtId="0" fontId="188" fillId="0" borderId="0" xfId="0" applyFont="1" applyAlignment="1">
      <alignment horizontal="right" vertical="center"/>
    </xf>
    <xf numFmtId="0" fontId="47" fillId="15" borderId="29" xfId="0" applyFont="1" applyFill="1" applyBorder="1" applyAlignment="1" applyProtection="1">
      <alignment horizontal="left" vertical="center"/>
      <protection locked="0"/>
    </xf>
    <xf numFmtId="14" fontId="3" fillId="0" borderId="0" xfId="0" applyNumberFormat="1" applyFont="1" applyAlignment="1">
      <alignment horizontal="left" vertical="center"/>
    </xf>
    <xf numFmtId="20" fontId="3" fillId="0" borderId="0" xfId="0" applyNumberFormat="1" applyFont="1" applyAlignment="1">
      <alignment horizontal="left" vertical="center"/>
    </xf>
    <xf numFmtId="0" fontId="32" fillId="0" borderId="0" xfId="0" applyFont="1" applyAlignment="1">
      <alignment horizontal="center"/>
    </xf>
    <xf numFmtId="0" fontId="30" fillId="0" borderId="0" xfId="0" applyFont="1" applyAlignment="1">
      <alignment horizontal="center"/>
    </xf>
    <xf numFmtId="16" fontId="84" fillId="0" borderId="0" xfId="0" applyNumberFormat="1" applyFont="1" applyAlignment="1">
      <alignment vertical="top" wrapText="1"/>
    </xf>
    <xf numFmtId="0" fontId="84" fillId="0" borderId="0" xfId="0" applyFont="1" applyAlignment="1">
      <alignment horizontal="left" vertical="top" wrapText="1"/>
    </xf>
    <xf numFmtId="0" fontId="84" fillId="0" borderId="0" xfId="0" applyFont="1" applyAlignment="1">
      <alignment vertical="top" wrapText="1"/>
    </xf>
    <xf numFmtId="0" fontId="84" fillId="0" borderId="0" xfId="0" applyFont="1" applyAlignment="1">
      <alignment horizontal="right"/>
    </xf>
    <xf numFmtId="0" fontId="37" fillId="0" borderId="6" xfId="0" applyFont="1" applyBorder="1" applyAlignment="1">
      <alignment vertical="center"/>
    </xf>
    <xf numFmtId="0" fontId="203" fillId="9" borderId="0" xfId="0" applyFont="1" applyFill="1"/>
    <xf numFmtId="0" fontId="99" fillId="5" borderId="0" xfId="0" applyFont="1" applyFill="1" applyAlignment="1">
      <alignment vertical="center"/>
    </xf>
    <xf numFmtId="0" fontId="45" fillId="5" borderId="0" xfId="0" applyFont="1" applyFill="1" applyAlignment="1">
      <alignment vertical="center"/>
    </xf>
    <xf numFmtId="0" fontId="30" fillId="12" borderId="0" xfId="0" applyFont="1" applyFill="1"/>
    <xf numFmtId="0" fontId="76" fillId="0" borderId="0" xfId="0" applyFont="1" applyAlignment="1">
      <alignment horizontal="right"/>
    </xf>
    <xf numFmtId="49" fontId="29" fillId="0" borderId="0" xfId="0" applyNumberFormat="1" applyFont="1" applyAlignment="1">
      <alignment horizontal="right"/>
    </xf>
    <xf numFmtId="0" fontId="41" fillId="0" borderId="0" xfId="0" applyFont="1"/>
    <xf numFmtId="14" fontId="30" fillId="0" borderId="0" xfId="0" applyNumberFormat="1" applyFont="1"/>
    <xf numFmtId="49" fontId="29" fillId="0" borderId="0" xfId="0" applyNumberFormat="1" applyFont="1"/>
    <xf numFmtId="0" fontId="240" fillId="0" borderId="0" xfId="0" applyFont="1" applyAlignment="1">
      <alignment horizontal="left" vertical="top"/>
    </xf>
    <xf numFmtId="181" fontId="19" fillId="0" borderId="0" xfId="0" applyNumberFormat="1" applyFont="1" applyAlignment="1">
      <alignment vertical="center"/>
    </xf>
    <xf numFmtId="0" fontId="30" fillId="0" borderId="0" xfId="0" applyFont="1" applyAlignment="1">
      <alignment horizontal="right" vertical="center"/>
    </xf>
    <xf numFmtId="0" fontId="5" fillId="0" borderId="0" xfId="1" applyFont="1" applyAlignment="1">
      <alignment vertical="center"/>
    </xf>
    <xf numFmtId="0" fontId="3" fillId="0" borderId="0" xfId="1" applyAlignment="1">
      <alignment vertical="center"/>
    </xf>
    <xf numFmtId="0" fontId="5" fillId="0" borderId="7" xfId="1" applyFont="1" applyBorder="1" applyAlignment="1">
      <alignment horizontal="center" vertical="center" wrapText="1"/>
    </xf>
    <xf numFmtId="0" fontId="5" fillId="0" borderId="8" xfId="1" applyFont="1" applyBorder="1" applyAlignment="1">
      <alignment horizontal="left" vertical="center"/>
    </xf>
    <xf numFmtId="0" fontId="5" fillId="0" borderId="1" xfId="1" applyFont="1" applyBorder="1" applyAlignment="1">
      <alignment horizontal="center" vertical="center"/>
    </xf>
    <xf numFmtId="0" fontId="3" fillId="0" borderId="8" xfId="1" applyBorder="1" applyAlignment="1">
      <alignment horizontal="center" vertical="center"/>
    </xf>
    <xf numFmtId="0" fontId="3" fillId="0" borderId="58" xfId="1" applyBorder="1" applyAlignment="1">
      <alignment horizontal="center" vertical="center"/>
    </xf>
    <xf numFmtId="0" fontId="3" fillId="0" borderId="59" xfId="1" applyBorder="1" applyAlignment="1">
      <alignment horizontal="center" vertical="center"/>
    </xf>
    <xf numFmtId="0" fontId="3" fillId="0" borderId="1" xfId="1" applyBorder="1" applyAlignment="1">
      <alignment horizontal="center" vertical="center"/>
    </xf>
    <xf numFmtId="0" fontId="3" fillId="0" borderId="8" xfId="1" applyBorder="1" applyAlignment="1">
      <alignment horizontal="left" vertical="center"/>
    </xf>
    <xf numFmtId="3" fontId="3" fillId="0" borderId="2" xfId="1" applyNumberFormat="1" applyBorder="1" applyAlignment="1">
      <alignment horizontal="center" vertical="center"/>
    </xf>
    <xf numFmtId="0" fontId="3" fillId="0" borderId="60" xfId="1" applyBorder="1" applyAlignment="1">
      <alignment horizontal="center" vertical="center"/>
    </xf>
    <xf numFmtId="0" fontId="3" fillId="0" borderId="61" xfId="1" applyBorder="1" applyAlignment="1">
      <alignment horizontal="center" vertical="center"/>
    </xf>
    <xf numFmtId="0" fontId="3" fillId="0" borderId="62" xfId="1" applyBorder="1" applyAlignment="1">
      <alignment horizontal="center" vertical="center"/>
    </xf>
    <xf numFmtId="0" fontId="3" fillId="0" borderId="63" xfId="1" applyBorder="1" applyAlignment="1">
      <alignment horizontal="center" vertical="center"/>
    </xf>
    <xf numFmtId="3" fontId="3" fillId="0" borderId="60" xfId="1" applyNumberFormat="1" applyBorder="1" applyAlignment="1">
      <alignment horizontal="center" vertical="center"/>
    </xf>
    <xf numFmtId="3" fontId="3" fillId="0" borderId="1" xfId="1" applyNumberFormat="1" applyBorder="1" applyAlignment="1">
      <alignment horizontal="center" vertical="center"/>
    </xf>
    <xf numFmtId="0" fontId="3" fillId="0" borderId="14" xfId="1" applyBorder="1" applyAlignment="1">
      <alignment horizontal="left" vertical="center"/>
    </xf>
    <xf numFmtId="0" fontId="3" fillId="0" borderId="15" xfId="1" applyBorder="1" applyAlignment="1">
      <alignment horizontal="center" vertical="center"/>
    </xf>
    <xf numFmtId="0" fontId="5" fillId="0" borderId="14" xfId="1" applyFont="1" applyBorder="1" applyAlignment="1">
      <alignment vertical="center"/>
    </xf>
    <xf numFmtId="0" fontId="5" fillId="0" borderId="15" xfId="1" applyFont="1" applyBorder="1" applyAlignment="1">
      <alignment vertical="center" wrapText="1"/>
    </xf>
    <xf numFmtId="177" fontId="3" fillId="0" borderId="8" xfId="1" applyNumberFormat="1" applyBorder="1" applyAlignment="1">
      <alignment horizontal="center" vertical="center"/>
    </xf>
    <xf numFmtId="177" fontId="3" fillId="0" borderId="58" xfId="1" applyNumberFormat="1" applyBorder="1" applyAlignment="1">
      <alignment horizontal="center" vertical="center"/>
    </xf>
    <xf numFmtId="177" fontId="3" fillId="0" borderId="59" xfId="1" applyNumberFormat="1" applyBorder="1" applyAlignment="1">
      <alignment horizontal="center" vertical="center"/>
    </xf>
    <xf numFmtId="177" fontId="3" fillId="0" borderId="2" xfId="1" applyNumberFormat="1" applyBorder="1" applyAlignment="1">
      <alignment horizontal="center" vertical="center"/>
    </xf>
    <xf numFmtId="0" fontId="5" fillId="0" borderId="0" xfId="1" applyFont="1" applyAlignment="1">
      <alignment vertical="center" wrapText="1"/>
    </xf>
    <xf numFmtId="177" fontId="3" fillId="0" borderId="0" xfId="1" applyNumberFormat="1" applyAlignment="1">
      <alignment horizontal="center" vertical="center"/>
    </xf>
    <xf numFmtId="0" fontId="37" fillId="9" borderId="0" xfId="0" applyFont="1" applyFill="1" applyAlignment="1">
      <alignment vertical="center"/>
    </xf>
    <xf numFmtId="0" fontId="5" fillId="0" borderId="7" xfId="0" applyFont="1" applyBorder="1" applyAlignment="1">
      <alignment horizontal="center" vertical="center"/>
    </xf>
    <xf numFmtId="0" fontId="3" fillId="0" borderId="1" xfId="0" applyFont="1" applyBorder="1" applyAlignment="1">
      <alignment horizontal="center" vertical="center"/>
    </xf>
    <xf numFmtId="0" fontId="21" fillId="22" borderId="0" xfId="1" applyFont="1" applyFill="1" applyAlignment="1">
      <alignment vertical="center"/>
    </xf>
    <xf numFmtId="3" fontId="3" fillId="0" borderId="2" xfId="0" applyNumberFormat="1" applyFont="1" applyBorder="1" applyAlignment="1">
      <alignment horizontal="center" vertical="center"/>
    </xf>
    <xf numFmtId="3" fontId="3" fillId="0" borderId="2" xfId="0" applyNumberFormat="1" applyFont="1" applyBorder="1" applyAlignment="1">
      <alignment horizontal="left" vertical="center"/>
    </xf>
    <xf numFmtId="0" fontId="21" fillId="11" borderId="0" xfId="1" applyFont="1" applyFill="1" applyAlignment="1">
      <alignment vertical="center"/>
    </xf>
    <xf numFmtId="3" fontId="5" fillId="0" borderId="2" xfId="0" applyNumberFormat="1" applyFont="1" applyBorder="1" applyAlignment="1">
      <alignment horizontal="center" vertical="center"/>
    </xf>
    <xf numFmtId="3" fontId="5" fillId="0" borderId="2" xfId="0" applyNumberFormat="1" applyFont="1" applyBorder="1" applyAlignment="1">
      <alignment horizontal="left" vertical="center"/>
    </xf>
    <xf numFmtId="0" fontId="5" fillId="0" borderId="7" xfId="0" applyFont="1" applyBorder="1" applyAlignment="1">
      <alignment horizontal="left" vertical="center"/>
    </xf>
    <xf numFmtId="0" fontId="3" fillId="11" borderId="0" xfId="1" applyFill="1" applyAlignment="1">
      <alignment vertical="center"/>
    </xf>
    <xf numFmtId="0" fontId="45" fillId="11" borderId="0" xfId="0" applyFont="1" applyFill="1" applyAlignment="1">
      <alignment horizontal="center" vertical="center" wrapText="1"/>
    </xf>
    <xf numFmtId="0" fontId="76" fillId="11" borderId="0" xfId="0" applyFont="1" applyFill="1" applyAlignment="1">
      <alignment horizontal="right" vertical="center"/>
    </xf>
    <xf numFmtId="0" fontId="242" fillId="11" borderId="0" xfId="0" applyFont="1" applyFill="1" applyAlignment="1">
      <alignment horizontal="left" vertical="center"/>
    </xf>
    <xf numFmtId="0" fontId="243" fillId="11" borderId="0" xfId="0" applyFont="1" applyFill="1" applyAlignment="1">
      <alignment horizontal="right" vertical="center"/>
    </xf>
    <xf numFmtId="0" fontId="109" fillId="0" borderId="0" xfId="0" applyFont="1" applyAlignment="1">
      <alignment horizontal="right" vertical="top"/>
    </xf>
    <xf numFmtId="0" fontId="29" fillId="0" borderId="0" xfId="0" quotePrefix="1" applyFont="1" applyAlignment="1">
      <alignment vertical="top"/>
    </xf>
    <xf numFmtId="0" fontId="0" fillId="23" borderId="0" xfId="0" applyFill="1" applyAlignment="1">
      <alignment vertical="center"/>
    </xf>
    <xf numFmtId="0" fontId="164" fillId="0" borderId="0" xfId="0" applyFont="1" applyAlignment="1">
      <alignment vertical="center"/>
    </xf>
    <xf numFmtId="0" fontId="168" fillId="0" borderId="0" xfId="0" applyFont="1" applyAlignment="1">
      <alignment horizontal="left" vertical="center"/>
    </xf>
    <xf numFmtId="0" fontId="41" fillId="0" borderId="0" xfId="0" applyFont="1" applyAlignment="1" applyProtection="1">
      <alignment horizontal="left" vertical="center"/>
      <protection locked="0"/>
    </xf>
    <xf numFmtId="0" fontId="6" fillId="14" borderId="0" xfId="0" applyFont="1" applyFill="1" applyAlignment="1" applyProtection="1">
      <alignment horizontal="center" vertical="center"/>
      <protection locked="0"/>
    </xf>
    <xf numFmtId="0" fontId="3" fillId="18" borderId="0" xfId="0" applyFont="1" applyFill="1" applyAlignment="1" applyProtection="1">
      <alignment horizontal="left" vertical="center"/>
      <protection locked="0"/>
    </xf>
    <xf numFmtId="0" fontId="116" fillId="14" borderId="4" xfId="0" applyFont="1" applyFill="1" applyBorder="1" applyAlignment="1" applyProtection="1">
      <alignment horizontal="left" vertical="center"/>
      <protection locked="0"/>
    </xf>
    <xf numFmtId="0" fontId="19" fillId="0" borderId="29" xfId="0" applyFont="1" applyBorder="1" applyAlignment="1">
      <alignment horizontal="left" vertical="center"/>
    </xf>
    <xf numFmtId="0" fontId="47" fillId="14" borderId="48" xfId="0" applyFont="1" applyFill="1" applyBorder="1" applyAlignment="1" applyProtection="1">
      <alignment vertical="center"/>
      <protection locked="0"/>
    </xf>
    <xf numFmtId="0" fontId="146" fillId="0" borderId="48" xfId="0" applyFont="1" applyBorder="1" applyAlignment="1" applyProtection="1">
      <alignment vertical="center"/>
      <protection locked="0"/>
    </xf>
    <xf numFmtId="0" fontId="47" fillId="14" borderId="0" xfId="0" applyFont="1" applyFill="1" applyAlignment="1" applyProtection="1">
      <alignment horizontal="left" vertical="center"/>
      <protection locked="0"/>
    </xf>
    <xf numFmtId="0" fontId="151" fillId="0" borderId="0" xfId="0" applyFont="1" applyAlignment="1" applyProtection="1">
      <alignment horizontal="left" vertical="center"/>
      <protection locked="0"/>
    </xf>
    <xf numFmtId="0" fontId="47" fillId="14" borderId="0" xfId="0" applyFont="1" applyFill="1" applyAlignment="1" applyProtection="1">
      <alignment vertical="center"/>
      <protection locked="0"/>
    </xf>
    <xf numFmtId="0" fontId="146" fillId="0" borderId="0" xfId="0" applyFont="1" applyAlignment="1" applyProtection="1">
      <alignment vertical="center"/>
      <protection locked="0"/>
    </xf>
    <xf numFmtId="0" fontId="47" fillId="14" borderId="49" xfId="0" applyFont="1" applyFill="1" applyBorder="1" applyAlignment="1" applyProtection="1">
      <alignment vertical="center"/>
      <protection locked="0"/>
    </xf>
    <xf numFmtId="0" fontId="146" fillId="0" borderId="49" xfId="0" applyFont="1" applyBorder="1" applyAlignment="1" applyProtection="1">
      <alignment vertical="center"/>
      <protection locked="0"/>
    </xf>
    <xf numFmtId="0" fontId="47" fillId="14" borderId="50" xfId="0" applyFont="1" applyFill="1" applyBorder="1" applyAlignment="1" applyProtection="1">
      <alignment vertical="center"/>
      <protection locked="0"/>
    </xf>
    <xf numFmtId="0" fontId="146" fillId="0" borderId="50" xfId="0" applyFont="1" applyBorder="1" applyAlignment="1" applyProtection="1">
      <alignment vertical="center"/>
      <protection locked="0"/>
    </xf>
    <xf numFmtId="0" fontId="6" fillId="14" borderId="0" xfId="0" applyFont="1" applyFill="1" applyAlignment="1" applyProtection="1">
      <alignment horizontal="left" vertical="center"/>
      <protection locked="0"/>
    </xf>
    <xf numFmtId="0" fontId="6"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120" fillId="0" borderId="8" xfId="0" applyFont="1" applyBorder="1" applyAlignment="1">
      <alignment horizontal="left" vertical="top" wrapText="1"/>
    </xf>
    <xf numFmtId="0" fontId="120" fillId="0" borderId="3" xfId="0" applyFont="1" applyBorder="1" applyAlignment="1">
      <alignment horizontal="left" vertical="top" wrapText="1"/>
    </xf>
    <xf numFmtId="0" fontId="120" fillId="0" borderId="11" xfId="0" applyFont="1" applyBorder="1" applyAlignment="1">
      <alignment horizontal="left" vertical="top" wrapText="1"/>
    </xf>
    <xf numFmtId="0" fontId="201" fillId="0" borderId="5" xfId="0" applyFont="1" applyBorder="1" applyAlignment="1">
      <alignment horizontal="left" vertical="top" wrapText="1"/>
    </xf>
    <xf numFmtId="0" fontId="201" fillId="0" borderId="0" xfId="0" applyFont="1" applyAlignment="1">
      <alignment horizontal="left" vertical="top" wrapText="1"/>
    </xf>
    <xf numFmtId="0" fontId="201" fillId="0" borderId="10" xfId="0" applyFont="1" applyBorder="1" applyAlignment="1">
      <alignment horizontal="left" vertical="top" wrapText="1"/>
    </xf>
    <xf numFmtId="0" fontId="3" fillId="15" borderId="0" xfId="0" applyFont="1" applyFill="1" applyAlignment="1" applyProtection="1">
      <alignment horizontal="left" vertical="center"/>
      <protection locked="0"/>
    </xf>
    <xf numFmtId="0" fontId="3" fillId="15" borderId="10" xfId="0" applyFont="1" applyFill="1" applyBorder="1" applyAlignment="1" applyProtection="1">
      <alignment horizontal="left" vertical="center"/>
      <protection locked="0"/>
    </xf>
    <xf numFmtId="0" fontId="3" fillId="4" borderId="0" xfId="0" applyFont="1" applyFill="1" applyAlignment="1" applyProtection="1">
      <alignment horizontal="left" vertical="center"/>
      <protection locked="0"/>
    </xf>
    <xf numFmtId="0" fontId="3" fillId="4" borderId="10" xfId="0" applyFont="1" applyFill="1" applyBorder="1" applyAlignment="1" applyProtection="1">
      <alignment horizontal="left" vertical="center"/>
      <protection locked="0"/>
    </xf>
    <xf numFmtId="0" fontId="3" fillId="0" borderId="25" xfId="0" applyFont="1" applyBorder="1" applyAlignment="1" applyProtection="1">
      <alignment horizontal="left" vertical="center"/>
      <protection locked="0"/>
    </xf>
    <xf numFmtId="0" fontId="3" fillId="15" borderId="26" xfId="0" applyFont="1" applyFill="1" applyBorder="1" applyAlignment="1" applyProtection="1">
      <alignment horizontal="left" vertical="center"/>
      <protection locked="0"/>
    </xf>
    <xf numFmtId="0" fontId="3" fillId="15" borderId="27" xfId="0" applyFont="1" applyFill="1" applyBorder="1" applyAlignment="1" applyProtection="1">
      <alignment horizontal="left" vertical="center"/>
      <protection locked="0"/>
    </xf>
    <xf numFmtId="0" fontId="3" fillId="0" borderId="19" xfId="0" applyFont="1" applyBorder="1" applyAlignment="1" applyProtection="1">
      <alignment horizontal="left" vertical="center"/>
      <protection locked="0"/>
    </xf>
    <xf numFmtId="0" fontId="3" fillId="15" borderId="20" xfId="0" applyFont="1" applyFill="1" applyBorder="1" applyAlignment="1" applyProtection="1">
      <alignment horizontal="left" vertical="center"/>
      <protection locked="0"/>
    </xf>
    <xf numFmtId="0" fontId="3" fillId="15" borderId="21" xfId="0" applyFont="1" applyFill="1" applyBorder="1" applyAlignment="1" applyProtection="1">
      <alignment horizontal="left" vertical="center"/>
      <protection locked="0"/>
    </xf>
    <xf numFmtId="0" fontId="3" fillId="0" borderId="22" xfId="0" applyFont="1" applyBorder="1" applyAlignment="1" applyProtection="1">
      <alignment horizontal="left" vertical="center"/>
      <protection locked="0"/>
    </xf>
    <xf numFmtId="0" fontId="3" fillId="15" borderId="23" xfId="0" applyFont="1" applyFill="1" applyBorder="1" applyAlignment="1" applyProtection="1">
      <alignment horizontal="left" vertical="center"/>
      <protection locked="0"/>
    </xf>
    <xf numFmtId="0" fontId="3" fillId="15" borderId="24" xfId="0" applyFont="1" applyFill="1" applyBorder="1" applyAlignment="1" applyProtection="1">
      <alignment horizontal="left" vertical="center"/>
      <protection locked="0"/>
    </xf>
    <xf numFmtId="0" fontId="3" fillId="0" borderId="0" xfId="0" applyFont="1" applyAlignment="1" applyProtection="1">
      <alignment horizontal="left" vertical="center"/>
      <protection locked="0"/>
    </xf>
    <xf numFmtId="0" fontId="29" fillId="14" borderId="46" xfId="0" applyFont="1" applyFill="1" applyBorder="1" applyAlignment="1" applyProtection="1">
      <alignment vertical="center"/>
      <protection locked="0"/>
    </xf>
    <xf numFmtId="0" fontId="29" fillId="2" borderId="46" xfId="0" applyFont="1" applyFill="1" applyBorder="1" applyAlignment="1" applyProtection="1">
      <alignment vertical="center"/>
      <protection locked="0"/>
    </xf>
    <xf numFmtId="0" fontId="105" fillId="13" borderId="46" xfId="0" applyFont="1" applyFill="1" applyBorder="1" applyAlignment="1" applyProtection="1">
      <alignment vertical="center" wrapText="1"/>
      <protection locked="0"/>
    </xf>
    <xf numFmtId="0" fontId="32" fillId="15" borderId="0" xfId="0" applyFont="1" applyFill="1" applyAlignment="1" applyProtection="1">
      <alignment horizontal="left" vertical="center"/>
      <protection locked="0"/>
    </xf>
    <xf numFmtId="0" fontId="32" fillId="4" borderId="0" xfId="0" applyFont="1" applyFill="1" applyAlignment="1" applyProtection="1">
      <alignment horizontal="left" vertical="center"/>
      <protection locked="0"/>
    </xf>
    <xf numFmtId="0" fontId="32" fillId="0" borderId="0" xfId="0" applyFont="1" applyAlignment="1">
      <alignment horizontal="left" vertical="top" wrapText="1"/>
    </xf>
    <xf numFmtId="0" fontId="32" fillId="0" borderId="18" xfId="0" applyFont="1" applyBorder="1" applyAlignment="1">
      <alignment horizontal="left" vertical="top" wrapText="1"/>
    </xf>
    <xf numFmtId="0" fontId="32" fillId="9" borderId="17" xfId="0" applyFont="1" applyFill="1" applyBorder="1" applyAlignment="1">
      <alignment horizontal="center" vertical="center" wrapText="1"/>
    </xf>
    <xf numFmtId="0" fontId="32" fillId="9" borderId="18" xfId="0" applyFont="1" applyFill="1" applyBorder="1" applyAlignment="1">
      <alignment horizontal="center" vertical="center" wrapText="1"/>
    </xf>
    <xf numFmtId="0" fontId="29" fillId="14" borderId="0" xfId="0" applyFont="1" applyFill="1" applyAlignment="1" applyProtection="1">
      <alignment vertical="center"/>
      <protection locked="0"/>
    </xf>
    <xf numFmtId="0" fontId="29" fillId="2" borderId="0" xfId="0" applyFont="1" applyFill="1" applyAlignment="1" applyProtection="1">
      <alignment vertical="center"/>
      <protection locked="0"/>
    </xf>
    <xf numFmtId="0" fontId="29" fillId="2" borderId="18" xfId="0" applyFont="1" applyFill="1" applyBorder="1" applyAlignment="1" applyProtection="1">
      <alignment vertical="center"/>
      <protection locked="0"/>
    </xf>
    <xf numFmtId="0" fontId="157" fillId="0" borderId="5" xfId="0" applyFont="1" applyBorder="1" applyAlignment="1">
      <alignment vertical="center" wrapText="1"/>
    </xf>
    <xf numFmtId="0" fontId="157" fillId="0" borderId="0" xfId="0" applyFont="1" applyAlignment="1">
      <alignment vertical="center" wrapText="1"/>
    </xf>
    <xf numFmtId="0" fontId="19" fillId="14" borderId="50" xfId="0" applyFont="1" applyFill="1" applyBorder="1" applyAlignment="1" applyProtection="1">
      <alignment vertical="center"/>
      <protection locked="0"/>
    </xf>
    <xf numFmtId="0" fontId="19" fillId="0" borderId="50" xfId="0" applyFont="1" applyBorder="1" applyAlignment="1" applyProtection="1">
      <alignment vertical="center"/>
      <protection locked="0"/>
    </xf>
    <xf numFmtId="175" fontId="19" fillId="0" borderId="6" xfId="0" applyNumberFormat="1" applyFont="1" applyBorder="1" applyAlignment="1">
      <alignment horizontal="center" vertical="center"/>
    </xf>
    <xf numFmtId="175" fontId="19" fillId="0" borderId="9" xfId="0" applyNumberFormat="1" applyFont="1" applyBorder="1" applyAlignment="1">
      <alignment horizontal="center" vertical="center"/>
    </xf>
    <xf numFmtId="175" fontId="23" fillId="0" borderId="14" xfId="0" applyNumberFormat="1" applyFont="1" applyBorder="1" applyAlignment="1">
      <alignment horizontal="center" vertical="center"/>
    </xf>
    <xf numFmtId="175" fontId="23" fillId="0" borderId="15" xfId="0" applyNumberFormat="1" applyFont="1" applyBorder="1" applyAlignment="1">
      <alignment horizontal="center" vertical="center"/>
    </xf>
    <xf numFmtId="175" fontId="47" fillId="0" borderId="14" xfId="0" applyNumberFormat="1" applyFont="1" applyBorder="1" applyAlignment="1">
      <alignment horizontal="center" vertical="center"/>
    </xf>
    <xf numFmtId="175" fontId="47" fillId="0" borderId="15" xfId="0" applyNumberFormat="1" applyFont="1" applyBorder="1" applyAlignment="1">
      <alignment horizontal="center" vertical="center"/>
    </xf>
    <xf numFmtId="0" fontId="19" fillId="14" borderId="48" xfId="0" applyFont="1" applyFill="1" applyBorder="1" applyAlignment="1" applyProtection="1">
      <alignment vertical="center"/>
      <protection locked="0"/>
    </xf>
    <xf numFmtId="0" fontId="19" fillId="0" borderId="48" xfId="0" applyFont="1" applyBorder="1" applyAlignment="1" applyProtection="1">
      <alignment vertical="center"/>
      <protection locked="0"/>
    </xf>
    <xf numFmtId="0" fontId="23" fillId="0" borderId="0" xfId="0" applyFont="1" applyAlignment="1">
      <alignment horizontal="left" vertical="center" wrapText="1"/>
    </xf>
    <xf numFmtId="0" fontId="19" fillId="0" borderId="0" xfId="0" applyFont="1" applyAlignment="1">
      <alignment vertical="center" wrapText="1"/>
    </xf>
    <xf numFmtId="0" fontId="9" fillId="5" borderId="0" xfId="0" applyFont="1" applyFill="1" applyAlignment="1">
      <alignment horizontal="center" vertical="center"/>
    </xf>
    <xf numFmtId="0" fontId="23" fillId="0" borderId="0" xfId="0" applyFont="1" applyAlignment="1">
      <alignment horizontal="center" vertical="center" wrapText="1"/>
    </xf>
    <xf numFmtId="0" fontId="5" fillId="0" borderId="0" xfId="0" applyFont="1" applyAlignment="1">
      <alignment horizontal="center" vertical="center"/>
    </xf>
    <xf numFmtId="0" fontId="23" fillId="0" borderId="0" xfId="0" applyFont="1" applyAlignment="1">
      <alignment horizontal="center" vertical="center"/>
    </xf>
    <xf numFmtId="0" fontId="47" fillId="0" borderId="14" xfId="0" applyFont="1" applyBorder="1" applyAlignment="1">
      <alignment horizontal="center" vertical="center"/>
    </xf>
    <xf numFmtId="0" fontId="47" fillId="0" borderId="15" xfId="0" applyFont="1" applyBorder="1" applyAlignment="1">
      <alignment horizontal="center" vertical="center"/>
    </xf>
    <xf numFmtId="0" fontId="6" fillId="14" borderId="50" xfId="0" applyFont="1" applyFill="1" applyBorder="1" applyAlignment="1" applyProtection="1">
      <alignment vertical="center"/>
      <protection locked="0"/>
    </xf>
    <xf numFmtId="0" fontId="49" fillId="0" borderId="3" xfId="0" applyFont="1" applyBorder="1" applyAlignment="1">
      <alignment horizontal="center" vertical="center" wrapText="1"/>
    </xf>
    <xf numFmtId="0" fontId="49" fillId="0" borderId="11" xfId="0" applyFont="1" applyBorder="1" applyAlignment="1">
      <alignment horizontal="center" vertical="center" wrapText="1"/>
    </xf>
    <xf numFmtId="0" fontId="49" fillId="14" borderId="14" xfId="0" applyFont="1" applyFill="1" applyBorder="1" applyAlignment="1" applyProtection="1">
      <alignment horizontal="center" vertical="center" wrapText="1"/>
      <protection locked="0"/>
    </xf>
    <xf numFmtId="0" fontId="49" fillId="14" borderId="13" xfId="0" applyFont="1" applyFill="1" applyBorder="1" applyAlignment="1" applyProtection="1">
      <alignment horizontal="center" vertical="center" wrapText="1"/>
      <protection locked="0"/>
    </xf>
    <xf numFmtId="0" fontId="49" fillId="14" borderId="15" xfId="0" applyFont="1" applyFill="1" applyBorder="1" applyAlignment="1" applyProtection="1">
      <alignment horizontal="center" vertical="center" wrapText="1"/>
      <protection locked="0"/>
    </xf>
    <xf numFmtId="175" fontId="47" fillId="0" borderId="6" xfId="0" applyNumberFormat="1" applyFont="1" applyBorder="1" applyAlignment="1">
      <alignment horizontal="center" vertical="center"/>
    </xf>
    <xf numFmtId="175" fontId="47" fillId="0" borderId="9" xfId="0" applyNumberFormat="1" applyFont="1" applyBorder="1" applyAlignment="1">
      <alignment horizontal="center" vertical="center"/>
    </xf>
    <xf numFmtId="0" fontId="47" fillId="0" borderId="8" xfId="0" applyFont="1" applyBorder="1" applyAlignment="1">
      <alignment horizontal="center" vertical="center"/>
    </xf>
    <xf numFmtId="0" fontId="47" fillId="0" borderId="11" xfId="0" applyFont="1" applyBorder="1" applyAlignment="1">
      <alignment horizontal="center" vertical="center"/>
    </xf>
    <xf numFmtId="175" fontId="47" fillId="0" borderId="8" xfId="0" applyNumberFormat="1" applyFont="1" applyBorder="1" applyAlignment="1">
      <alignment horizontal="center" vertical="center"/>
    </xf>
    <xf numFmtId="175" fontId="47" fillId="0" borderId="11" xfId="0" applyNumberFormat="1" applyFont="1" applyBorder="1" applyAlignment="1">
      <alignment horizontal="center" vertical="center"/>
    </xf>
    <xf numFmtId="0" fontId="49" fillId="14" borderId="3" xfId="0" applyFont="1" applyFill="1" applyBorder="1" applyAlignment="1" applyProtection="1">
      <alignment horizontal="center" vertical="center" wrapText="1"/>
      <protection locked="0"/>
    </xf>
    <xf numFmtId="0" fontId="49" fillId="14" borderId="11" xfId="0" applyFont="1" applyFill="1" applyBorder="1" applyAlignment="1" applyProtection="1">
      <alignment horizontal="center" vertical="center" wrapText="1"/>
      <protection locked="0"/>
    </xf>
    <xf numFmtId="0" fontId="49" fillId="0" borderId="0" xfId="0" applyFont="1" applyAlignment="1">
      <alignment horizontal="center" vertical="center" wrapText="1"/>
    </xf>
    <xf numFmtId="0" fontId="49" fillId="14" borderId="8" xfId="0" applyFont="1" applyFill="1" applyBorder="1" applyAlignment="1" applyProtection="1">
      <alignment horizontal="center" vertical="center" wrapText="1"/>
      <protection locked="0"/>
    </xf>
    <xf numFmtId="175" fontId="78" fillId="0" borderId="14" xfId="0" applyNumberFormat="1" applyFont="1" applyBorder="1" applyAlignment="1">
      <alignment horizontal="center" vertical="center"/>
    </xf>
    <xf numFmtId="175" fontId="78" fillId="0" borderId="15" xfId="0" applyNumberFormat="1" applyFont="1" applyBorder="1" applyAlignment="1">
      <alignment horizontal="center" vertical="center"/>
    </xf>
    <xf numFmtId="175" fontId="19" fillId="0" borderId="8" xfId="0" applyNumberFormat="1" applyFont="1" applyBorder="1" applyAlignment="1">
      <alignment horizontal="center" vertical="center"/>
    </xf>
    <xf numFmtId="175" fontId="19" fillId="0" borderId="11" xfId="0" applyNumberFormat="1" applyFont="1" applyBorder="1" applyAlignment="1">
      <alignment horizontal="center" vertical="center"/>
    </xf>
    <xf numFmtId="175" fontId="200" fillId="0" borderId="14" xfId="0" applyNumberFormat="1" applyFont="1" applyBorder="1" applyAlignment="1">
      <alignment horizontal="center" vertical="center"/>
    </xf>
    <xf numFmtId="175" fontId="200" fillId="0" borderId="15" xfId="0" applyNumberFormat="1" applyFont="1" applyBorder="1" applyAlignment="1">
      <alignment horizontal="center" vertical="center"/>
    </xf>
    <xf numFmtId="0" fontId="29" fillId="3" borderId="0" xfId="0" applyFont="1" applyFill="1" applyAlignment="1">
      <alignment vertical="center" wrapText="1"/>
    </xf>
    <xf numFmtId="0" fontId="29" fillId="3" borderId="0" xfId="0" applyFont="1" applyFill="1" applyAlignment="1">
      <alignment horizontal="left" vertical="center" wrapText="1"/>
    </xf>
    <xf numFmtId="0" fontId="29" fillId="3" borderId="10" xfId="0" applyFont="1" applyFill="1" applyBorder="1" applyAlignment="1">
      <alignment horizontal="left" vertical="center" wrapText="1"/>
    </xf>
    <xf numFmtId="0" fontId="84" fillId="0" borderId="0" xfId="0" applyFont="1" applyAlignment="1">
      <alignment horizontal="left" vertical="top" wrapText="1"/>
    </xf>
    <xf numFmtId="0" fontId="29" fillId="0" borderId="0" xfId="0" applyFont="1" applyAlignment="1">
      <alignment horizontal="left" vertical="top" wrapText="1"/>
    </xf>
    <xf numFmtId="0" fontId="29" fillId="0" borderId="0" xfId="0" applyFont="1" applyAlignment="1">
      <alignment horizontal="left" vertical="top"/>
    </xf>
    <xf numFmtId="0" fontId="29" fillId="0" borderId="2" xfId="0" applyFont="1" applyBorder="1" applyAlignment="1">
      <alignment vertical="top" wrapText="1"/>
    </xf>
    <xf numFmtId="16" fontId="84" fillId="0" borderId="0" xfId="0" applyNumberFormat="1" applyFont="1" applyAlignment="1">
      <alignment horizontal="left" vertical="top" wrapText="1"/>
    </xf>
    <xf numFmtId="0" fontId="29" fillId="0" borderId="14" xfId="0" applyFont="1" applyBorder="1" applyAlignment="1">
      <alignment vertical="top"/>
    </xf>
    <xf numFmtId="0" fontId="29" fillId="0" borderId="13" xfId="0" applyFont="1" applyBorder="1" applyAlignment="1">
      <alignment vertical="top"/>
    </xf>
    <xf numFmtId="0" fontId="29" fillId="0" borderId="15" xfId="0" applyFont="1" applyBorder="1" applyAlignment="1">
      <alignment vertical="top"/>
    </xf>
    <xf numFmtId="0" fontId="29" fillId="0" borderId="14" xfId="0" applyFont="1" applyBorder="1" applyAlignment="1">
      <alignment vertical="top" wrapText="1"/>
    </xf>
    <xf numFmtId="0" fontId="29" fillId="0" borderId="13" xfId="0" applyFont="1" applyBorder="1" applyAlignment="1">
      <alignment vertical="top" wrapText="1"/>
    </xf>
    <xf numFmtId="0" fontId="29" fillId="0" borderId="15" xfId="0" applyFont="1" applyBorder="1" applyAlignment="1">
      <alignment vertical="top" wrapText="1"/>
    </xf>
    <xf numFmtId="0" fontId="29" fillId="0" borderId="2" xfId="0" applyFont="1" applyBorder="1" applyAlignment="1">
      <alignment vertical="top"/>
    </xf>
    <xf numFmtId="0" fontId="29" fillId="0" borderId="0" xfId="0" applyFont="1" applyAlignment="1">
      <alignment vertical="top" wrapText="1"/>
    </xf>
    <xf numFmtId="0" fontId="135" fillId="0" borderId="0" xfId="0" applyFont="1" applyAlignment="1">
      <alignment vertical="top" wrapText="1"/>
    </xf>
    <xf numFmtId="0" fontId="29" fillId="0" borderId="0" xfId="0" applyFont="1" applyAlignment="1">
      <alignment horizontal="left" vertical="top" wrapText="1" indent="2"/>
    </xf>
    <xf numFmtId="0" fontId="135" fillId="0" borderId="0" xfId="0" applyFont="1" applyAlignment="1">
      <alignment horizontal="left" vertical="top"/>
    </xf>
    <xf numFmtId="0" fontId="135" fillId="0" borderId="0" xfId="0" applyFont="1"/>
    <xf numFmtId="0" fontId="37" fillId="0" borderId="0" xfId="0" applyFont="1" applyAlignment="1">
      <alignment horizontal="left" vertical="top" wrapText="1" indent="2"/>
    </xf>
    <xf numFmtId="0" fontId="29" fillId="0" borderId="2" xfId="0" quotePrefix="1" applyFont="1" applyBorder="1" applyAlignment="1">
      <alignment vertical="top" wrapText="1"/>
    </xf>
    <xf numFmtId="0" fontId="29" fillId="0" borderId="14" xfId="0" applyFont="1" applyBorder="1" applyAlignment="1">
      <alignment vertical="center"/>
    </xf>
    <xf numFmtId="0" fontId="29" fillId="0" borderId="15" xfId="0" applyFont="1" applyBorder="1" applyAlignment="1">
      <alignment vertical="center"/>
    </xf>
    <xf numFmtId="0" fontId="29" fillId="0" borderId="6" xfId="0" applyFont="1" applyBorder="1" applyAlignment="1">
      <alignment vertical="top"/>
    </xf>
    <xf numFmtId="0" fontId="29" fillId="0" borderId="4" xfId="0" applyFont="1" applyBorder="1" applyAlignment="1">
      <alignment vertical="top"/>
    </xf>
    <xf numFmtId="0" fontId="29" fillId="0" borderId="9" xfId="0" applyFont="1" applyBorder="1" applyAlignment="1">
      <alignment vertical="top"/>
    </xf>
    <xf numFmtId="0" fontId="29" fillId="0" borderId="7" xfId="0" applyFont="1" applyBorder="1" applyAlignment="1">
      <alignment vertical="top"/>
    </xf>
    <xf numFmtId="0" fontId="29" fillId="0" borderId="8" xfId="0" applyFont="1" applyBorder="1" applyAlignment="1">
      <alignment vertical="top"/>
    </xf>
    <xf numFmtId="0" fontId="29" fillId="0" borderId="11" xfId="0" applyFont="1" applyBorder="1" applyAlignment="1">
      <alignment vertical="top"/>
    </xf>
    <xf numFmtId="0" fontId="29" fillId="0" borderId="8" xfId="0" applyFont="1" applyBorder="1" applyAlignment="1">
      <alignment vertical="top" wrapText="1"/>
    </xf>
    <xf numFmtId="0" fontId="29" fillId="0" borderId="3" xfId="0" applyFont="1" applyBorder="1" applyAlignment="1">
      <alignment vertical="top" wrapText="1"/>
    </xf>
    <xf numFmtId="0" fontId="29" fillId="0" borderId="11" xfId="0" applyFont="1" applyBorder="1" applyAlignment="1">
      <alignment vertical="top" wrapText="1"/>
    </xf>
    <xf numFmtId="0" fontId="0" fillId="0" borderId="8"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13" xfId="0" applyBorder="1" applyAlignment="1">
      <alignment horizontal="center"/>
    </xf>
    <xf numFmtId="0" fontId="29" fillId="0" borderId="1" xfId="0" applyFont="1" applyBorder="1" applyAlignment="1">
      <alignment vertical="top" wrapText="1"/>
    </xf>
    <xf numFmtId="0" fontId="136" fillId="0" borderId="0" xfId="0" applyFont="1" applyAlignment="1">
      <alignment wrapText="1"/>
    </xf>
    <xf numFmtId="0" fontId="29" fillId="0" borderId="14" xfId="0" applyFont="1" applyBorder="1" applyAlignment="1">
      <alignment horizontal="center" vertical="top"/>
    </xf>
    <xf numFmtId="0" fontId="29" fillId="0" borderId="13" xfId="0" applyFont="1" applyBorder="1" applyAlignment="1">
      <alignment horizontal="center" vertical="top"/>
    </xf>
    <xf numFmtId="0" fontId="29" fillId="0" borderId="15" xfId="0" applyFont="1" applyBorder="1" applyAlignment="1">
      <alignment horizontal="center" vertical="top"/>
    </xf>
    <xf numFmtId="0" fontId="29" fillId="0" borderId="6" xfId="0" applyFont="1" applyBorder="1" applyAlignment="1">
      <alignment horizontal="center" vertical="top"/>
    </xf>
    <xf numFmtId="0" fontId="29" fillId="0" borderId="9" xfId="0" applyFont="1" applyBorder="1" applyAlignment="1">
      <alignment horizontal="center" vertical="top"/>
    </xf>
    <xf numFmtId="0" fontId="5" fillId="0" borderId="6" xfId="1" applyFont="1" applyBorder="1" applyAlignment="1">
      <alignment horizontal="left" vertical="center"/>
    </xf>
    <xf numFmtId="0" fontId="3" fillId="0" borderId="9" xfId="1" applyBorder="1" applyAlignment="1">
      <alignment vertical="center"/>
    </xf>
    <xf numFmtId="0" fontId="5" fillId="0" borderId="6" xfId="1" applyFont="1" applyBorder="1" applyAlignment="1">
      <alignment horizontal="center" vertical="center"/>
    </xf>
    <xf numFmtId="0" fontId="5" fillId="0" borderId="4" xfId="1" applyFont="1" applyBorder="1" applyAlignment="1">
      <alignment horizontal="center" vertical="center"/>
    </xf>
    <xf numFmtId="0" fontId="5" fillId="0" borderId="9" xfId="1" applyFont="1" applyBorder="1" applyAlignment="1">
      <alignment horizontal="center" vertical="center"/>
    </xf>
    <xf numFmtId="0" fontId="3" fillId="0" borderId="7" xfId="1" applyBorder="1" applyAlignment="1">
      <alignment horizontal="left" vertical="center"/>
    </xf>
    <xf numFmtId="0" fontId="3" fillId="0" borderId="12" xfId="1" applyBorder="1" applyAlignment="1">
      <alignment horizontal="left" vertical="center"/>
    </xf>
    <xf numFmtId="0" fontId="3" fillId="0" borderId="1" xfId="1" applyBorder="1" applyAlignment="1">
      <alignment horizontal="left" vertical="center"/>
    </xf>
    <xf numFmtId="0" fontId="0" fillId="0" borderId="5" xfId="0" applyBorder="1" applyAlignment="1">
      <alignment horizontal="center"/>
    </xf>
    <xf numFmtId="0" fontId="0" fillId="0" borderId="10"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0" fillId="0" borderId="9" xfId="0" applyBorder="1" applyAlignment="1">
      <alignment horizontal="center"/>
    </xf>
    <xf numFmtId="0" fontId="0" fillId="0" borderId="4" xfId="0" applyBorder="1" applyAlignment="1">
      <alignment horizontal="center"/>
    </xf>
    <xf numFmtId="0" fontId="0" fillId="0" borderId="12" xfId="0" applyBorder="1" applyAlignment="1">
      <alignment horizontal="center"/>
    </xf>
    <xf numFmtId="0" fontId="0" fillId="0" borderId="1" xfId="0" applyBorder="1" applyAlignment="1">
      <alignment horizontal="center"/>
    </xf>
    <xf numFmtId="0" fontId="0" fillId="0" borderId="7" xfId="0" applyBorder="1" applyAlignment="1">
      <alignment horizontal="center"/>
    </xf>
    <xf numFmtId="0" fontId="0" fillId="0" borderId="14" xfId="0" applyBorder="1"/>
    <xf numFmtId="0" fontId="0" fillId="0" borderId="15" xfId="0" applyBorder="1"/>
    <xf numFmtId="0" fontId="0" fillId="0" borderId="6" xfId="0" applyBorder="1"/>
    <xf numFmtId="0" fontId="0" fillId="0" borderId="9" xfId="0" applyBorder="1"/>
    <xf numFmtId="0" fontId="0" fillId="0" borderId="8" xfId="0" applyBorder="1"/>
    <xf numFmtId="0" fontId="0" fillId="0" borderId="11" xfId="0" applyBorder="1"/>
    <xf numFmtId="0" fontId="0" fillId="0" borderId="2" xfId="0" applyBorder="1" applyAlignment="1">
      <alignment horizontal="center"/>
    </xf>
    <xf numFmtId="0" fontId="0" fillId="3" borderId="14" xfId="0" applyFill="1" applyBorder="1" applyAlignment="1">
      <alignment horizontal="center"/>
    </xf>
    <xf numFmtId="0" fontId="0" fillId="3" borderId="13" xfId="0" applyFill="1" applyBorder="1" applyAlignment="1">
      <alignment horizontal="center"/>
    </xf>
    <xf numFmtId="0" fontId="0" fillId="3" borderId="15" xfId="0" applyFill="1" applyBorder="1" applyAlignment="1">
      <alignment horizontal="center"/>
    </xf>
    <xf numFmtId="0" fontId="0" fillId="0" borderId="13" xfId="0" applyBorder="1"/>
    <xf numFmtId="0" fontId="29" fillId="13" borderId="37" xfId="0" applyFont="1" applyFill="1" applyBorder="1" applyProtection="1">
      <protection locked="0"/>
    </xf>
    <xf numFmtId="0" fontId="29" fillId="13" borderId="38" xfId="0" applyFont="1" applyFill="1" applyBorder="1" applyProtection="1">
      <protection locked="0"/>
    </xf>
    <xf numFmtId="0" fontId="29" fillId="13" borderId="24" xfId="0" applyFont="1" applyFill="1" applyBorder="1" applyProtection="1">
      <protection locked="0"/>
    </xf>
    <xf numFmtId="0" fontId="29" fillId="13" borderId="29" xfId="0" applyFont="1" applyFill="1" applyBorder="1" applyProtection="1">
      <protection locked="0"/>
    </xf>
    <xf numFmtId="0" fontId="29" fillId="13" borderId="27" xfId="0" applyFont="1" applyFill="1" applyBorder="1" applyProtection="1">
      <protection locked="0"/>
    </xf>
    <xf numFmtId="0" fontId="29" fillId="13" borderId="30" xfId="0" applyFont="1" applyFill="1" applyBorder="1" applyProtection="1">
      <protection locked="0"/>
    </xf>
    <xf numFmtId="0" fontId="29" fillId="0" borderId="2" xfId="0" applyFont="1" applyBorder="1" applyAlignment="1">
      <alignment horizontal="center"/>
    </xf>
    <xf numFmtId="0" fontId="37" fillId="0" borderId="0" xfId="0" applyFont="1" applyAlignment="1">
      <alignment horizontal="left" vertical="top" wrapText="1"/>
    </xf>
    <xf numFmtId="0" fontId="37" fillId="0" borderId="4" xfId="0" applyFont="1" applyBorder="1" applyAlignment="1">
      <alignment vertical="top" wrapText="1"/>
    </xf>
    <xf numFmtId="0" fontId="37" fillId="0" borderId="0" xfId="0" applyFont="1" applyAlignment="1">
      <alignment vertical="top" wrapText="1"/>
    </xf>
    <xf numFmtId="0" fontId="37" fillId="0" borderId="0" xfId="0" applyFont="1" applyAlignment="1">
      <alignment vertical="center" wrapText="1"/>
    </xf>
    <xf numFmtId="0" fontId="84" fillId="0" borderId="0" xfId="0" applyFont="1" applyAlignment="1">
      <alignment vertical="top" wrapText="1"/>
    </xf>
    <xf numFmtId="0" fontId="0" fillId="0" borderId="14" xfId="0" applyBorder="1" applyAlignment="1">
      <alignment horizontal="left"/>
    </xf>
    <xf numFmtId="0" fontId="0" fillId="0" borderId="13" xfId="0" applyBorder="1" applyAlignment="1">
      <alignment horizontal="left"/>
    </xf>
    <xf numFmtId="0" fontId="0" fillId="0" borderId="15" xfId="0" applyBorder="1" applyAlignment="1">
      <alignment horizontal="left"/>
    </xf>
    <xf numFmtId="0" fontId="29" fillId="14" borderId="19" xfId="0" applyFont="1" applyFill="1" applyBorder="1" applyProtection="1">
      <protection locked="0"/>
    </xf>
    <xf numFmtId="0" fontId="29" fillId="14" borderId="20" xfId="0" applyFont="1" applyFill="1" applyBorder="1" applyProtection="1">
      <protection locked="0"/>
    </xf>
    <xf numFmtId="0" fontId="0" fillId="0" borderId="6" xfId="0" applyBorder="1" applyAlignment="1">
      <alignment horizontal="left"/>
    </xf>
    <xf numFmtId="0" fontId="0" fillId="0" borderId="4" xfId="0" applyBorder="1" applyAlignment="1">
      <alignment horizontal="left"/>
    </xf>
    <xf numFmtId="0" fontId="29" fillId="0" borderId="4" xfId="0" applyFont="1" applyBorder="1" applyAlignment="1">
      <alignment horizontal="left" vertical="top" wrapText="1"/>
    </xf>
    <xf numFmtId="0" fontId="29" fillId="0" borderId="9" xfId="0" applyFont="1" applyBorder="1" applyAlignment="1">
      <alignment horizontal="left" vertical="top" wrapText="1"/>
    </xf>
    <xf numFmtId="0" fontId="29" fillId="0" borderId="10" xfId="0" applyFont="1" applyBorder="1" applyAlignment="1">
      <alignment horizontal="left" vertical="top" wrapText="1"/>
    </xf>
    <xf numFmtId="0" fontId="29" fillId="0" borderId="3" xfId="0" applyFont="1" applyBorder="1" applyAlignment="1">
      <alignment horizontal="left" vertical="top" wrapText="1"/>
    </xf>
    <xf numFmtId="0" fontId="29" fillId="0" borderId="11" xfId="0" applyFont="1" applyBorder="1" applyAlignment="1">
      <alignment horizontal="left" vertical="top" wrapText="1"/>
    </xf>
    <xf numFmtId="0" fontId="29" fillId="0" borderId="5" xfId="0" applyFont="1" applyBorder="1" applyAlignment="1">
      <alignment horizontal="left" vertical="top" wrapText="1"/>
    </xf>
    <xf numFmtId="0" fontId="29" fillId="0" borderId="8" xfId="0" applyFont="1" applyBorder="1" applyAlignment="1">
      <alignment horizontal="left" vertical="top" wrapText="1"/>
    </xf>
    <xf numFmtId="0" fontId="29" fillId="0" borderId="6" xfId="0" applyFont="1" applyBorder="1" applyAlignment="1">
      <alignment horizontal="left" vertical="top" wrapText="1"/>
    </xf>
    <xf numFmtId="0" fontId="95" fillId="0" borderId="5" xfId="0" applyFont="1" applyBorder="1" applyAlignment="1">
      <alignment horizontal="left" vertical="top" wrapText="1"/>
    </xf>
    <xf numFmtId="0" fontId="95" fillId="0" borderId="0" xfId="0" applyFont="1" applyAlignment="1">
      <alignment horizontal="left" vertical="top" wrapText="1"/>
    </xf>
    <xf numFmtId="0" fontId="32" fillId="0" borderId="5" xfId="0" applyFont="1" applyBorder="1" applyAlignment="1">
      <alignment horizontal="center" vertical="top" wrapText="1"/>
    </xf>
    <xf numFmtId="0" fontId="32" fillId="0" borderId="10" xfId="0" applyFont="1" applyBorder="1" applyAlignment="1">
      <alignment horizontal="center" vertical="top"/>
    </xf>
    <xf numFmtId="0" fontId="32" fillId="0" borderId="8" xfId="0" applyFont="1" applyBorder="1" applyAlignment="1">
      <alignment horizontal="center" vertical="top" wrapText="1"/>
    </xf>
    <xf numFmtId="0" fontId="32" fillId="0" borderId="11" xfId="0" applyFont="1" applyBorder="1" applyAlignment="1">
      <alignment horizontal="center" vertical="top"/>
    </xf>
    <xf numFmtId="0" fontId="5" fillId="0" borderId="14" xfId="1" applyFont="1" applyBorder="1" applyAlignment="1">
      <alignment horizontal="center" vertical="center"/>
    </xf>
    <xf numFmtId="0" fontId="5" fillId="0" borderId="13" xfId="1" applyFont="1" applyBorder="1" applyAlignment="1">
      <alignment horizontal="center" vertical="center"/>
    </xf>
    <xf numFmtId="0" fontId="5" fillId="0" borderId="15" xfId="1" applyFont="1" applyBorder="1" applyAlignment="1">
      <alignment horizontal="center" vertical="center"/>
    </xf>
    <xf numFmtId="0" fontId="47" fillId="15" borderId="29" xfId="0" applyFont="1" applyFill="1" applyBorder="1" applyAlignment="1" applyProtection="1">
      <alignment horizontal="left" vertical="center"/>
      <protection locked="0"/>
    </xf>
    <xf numFmtId="0" fontId="146" fillId="0" borderId="0" xfId="0" applyFont="1" applyAlignment="1">
      <alignment horizontal="left" vertical="center" wrapText="1"/>
    </xf>
    <xf numFmtId="0" fontId="6" fillId="0" borderId="28" xfId="0" applyFont="1" applyBorder="1" applyAlignment="1" applyProtection="1">
      <alignment horizontal="center" vertical="center"/>
    </xf>
    <xf numFmtId="171" fontId="6" fillId="0" borderId="28" xfId="0" applyNumberFormat="1" applyFont="1" applyFill="1" applyBorder="1" applyAlignment="1" applyProtection="1">
      <alignment horizontal="center" vertical="center"/>
    </xf>
    <xf numFmtId="171" fontId="6" fillId="0" borderId="19" xfId="0" applyNumberFormat="1" applyFont="1" applyFill="1" applyBorder="1" applyAlignment="1" applyProtection="1">
      <alignment horizontal="center" vertical="center"/>
    </xf>
    <xf numFmtId="173" fontId="6" fillId="0" borderId="19" xfId="0" applyNumberFormat="1" applyFont="1" applyFill="1" applyBorder="1" applyAlignment="1" applyProtection="1">
      <alignment horizontal="center" vertical="center"/>
    </xf>
    <xf numFmtId="171" fontId="6" fillId="0" borderId="54" xfId="0" applyNumberFormat="1" applyFont="1" applyFill="1" applyBorder="1" applyAlignment="1" applyProtection="1">
      <alignment horizontal="center" vertical="center"/>
    </xf>
    <xf numFmtId="173" fontId="6" fillId="0" borderId="54" xfId="0" applyNumberFormat="1" applyFont="1" applyFill="1" applyBorder="1" applyAlignment="1" applyProtection="1">
      <alignment horizontal="center" vertical="center"/>
    </xf>
    <xf numFmtId="0" fontId="6" fillId="0" borderId="28" xfId="0" applyFont="1" applyFill="1" applyBorder="1" applyAlignment="1" applyProtection="1">
      <alignment horizontal="center" vertical="center"/>
    </xf>
    <xf numFmtId="0" fontId="6" fillId="0" borderId="30" xfId="0" applyFont="1" applyFill="1" applyBorder="1" applyAlignment="1" applyProtection="1">
      <alignment horizontal="center" vertical="center"/>
    </xf>
    <xf numFmtId="171" fontId="6" fillId="0" borderId="25" xfId="0" applyNumberFormat="1" applyFont="1" applyFill="1" applyBorder="1" applyAlignment="1" applyProtection="1">
      <alignment horizontal="center" vertical="center"/>
    </xf>
    <xf numFmtId="173" fontId="6" fillId="0" borderId="21" xfId="0" applyNumberFormat="1" applyFont="1" applyFill="1" applyBorder="1" applyAlignment="1" applyProtection="1">
      <alignment horizontal="center" vertical="center"/>
    </xf>
    <xf numFmtId="173" fontId="6" fillId="0" borderId="27" xfId="0" applyNumberFormat="1" applyFont="1" applyFill="1" applyBorder="1" applyAlignment="1" applyProtection="1">
      <alignment horizontal="center" vertical="center"/>
    </xf>
    <xf numFmtId="0" fontId="6" fillId="0" borderId="20" xfId="0" applyFont="1" applyFill="1" applyBorder="1" applyAlignment="1" applyProtection="1">
      <alignment horizontal="center" vertical="center"/>
    </xf>
    <xf numFmtId="0" fontId="6" fillId="0" borderId="21" xfId="0"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3" xfId="0" applyFont="1" applyFill="1" applyBorder="1" applyAlignment="1" applyProtection="1">
      <alignment horizontal="left" vertical="center"/>
    </xf>
    <xf numFmtId="0" fontId="3" fillId="0" borderId="19" xfId="0" applyFont="1" applyFill="1" applyBorder="1" applyAlignment="1" applyProtection="1">
      <alignment horizontal="left" vertical="center"/>
    </xf>
    <xf numFmtId="0" fontId="3" fillId="0" borderId="22" xfId="0" applyFont="1" applyFill="1" applyBorder="1" applyAlignment="1" applyProtection="1">
      <alignment horizontal="left" vertical="center"/>
    </xf>
    <xf numFmtId="0" fontId="3" fillId="0" borderId="23" xfId="0" applyFont="1" applyBorder="1" applyAlignment="1" applyProtection="1">
      <alignment horizontal="left" vertical="center"/>
    </xf>
    <xf numFmtId="0" fontId="3" fillId="0" borderId="24" xfId="0" applyFont="1" applyBorder="1" applyAlignment="1" applyProtection="1">
      <alignment horizontal="left" vertical="center"/>
    </xf>
  </cellXfs>
  <cellStyles count="5">
    <cellStyle name="Link" xfId="3" builtinId="8"/>
    <cellStyle name="Prozent" xfId="4" builtinId="5"/>
    <cellStyle name="Standard" xfId="0" builtinId="0"/>
    <cellStyle name="Standard 2" xfId="1" xr:uid="{00000000-0005-0000-0000-000003000000}"/>
    <cellStyle name="Standard 3" xfId="2" xr:uid="{00000000-0005-0000-0000-000004000000}"/>
  </cellStyles>
  <dxfs count="516">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ill>
        <patternFill patternType="none">
          <bgColor auto="1"/>
        </patternFill>
      </fill>
    </dxf>
    <dxf>
      <font>
        <b val="0"/>
        <i val="0"/>
        <color theme="6" tint="-0.24994659260841701"/>
      </font>
      <fill>
        <patternFill>
          <bgColor theme="6" tint="0.59996337778862885"/>
        </patternFill>
      </fill>
    </dxf>
    <dxf>
      <font>
        <b val="0"/>
        <i val="0"/>
        <color theme="6" tint="-0.24994659260841701"/>
      </font>
    </dxf>
    <dxf>
      <font>
        <b val="0"/>
        <i val="0"/>
        <color theme="6" tint="-0.24994659260841701"/>
      </font>
    </dxf>
    <dxf>
      <font>
        <b val="0"/>
        <i val="0"/>
        <color theme="6" tint="-0.24994659260841701"/>
      </font>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dxf>
    <dxf>
      <font>
        <b val="0"/>
        <i val="0"/>
        <color theme="6" tint="-0.24994659260841701"/>
      </font>
    </dxf>
    <dxf>
      <font>
        <b val="0"/>
        <i val="0"/>
        <color theme="6" tint="-0.24994659260841701"/>
      </font>
    </dxf>
    <dxf>
      <font>
        <b val="0"/>
        <i val="0"/>
        <color theme="6" tint="-0.24994659260841701"/>
      </font>
    </dxf>
    <dxf>
      <font>
        <b val="0"/>
        <i val="0"/>
        <color theme="6" tint="-0.24994659260841701"/>
      </font>
    </dxf>
    <dxf>
      <font>
        <b val="0"/>
        <i val="0"/>
        <color theme="6" tint="-0.24994659260841701"/>
      </font>
    </dxf>
    <dxf>
      <font>
        <b val="0"/>
        <i val="0"/>
        <color theme="6" tint="-0.24994659260841701"/>
      </font>
    </dxf>
    <dxf>
      <font>
        <b val="0"/>
        <i val="0"/>
        <color theme="6" tint="-0.24994659260841701"/>
      </font>
    </dxf>
    <dxf>
      <font>
        <b val="0"/>
        <i val="0"/>
        <color theme="6" tint="-0.24994659260841701"/>
      </font>
    </dxf>
    <dxf>
      <fill>
        <patternFill patternType="none">
          <bgColor auto="1"/>
        </patternFill>
      </fill>
    </dxf>
    <dxf>
      <fill>
        <patternFill patternType="none">
          <bgColor auto="1"/>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patternType="none">
          <bgColor auto="1"/>
        </patternFill>
      </fill>
    </dxf>
    <dxf>
      <numFmt numFmtId="185" formatCode="0.0;\-0.0;0;@"/>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bgColor theme="0"/>
        </patternFill>
      </fill>
    </dxf>
    <dxf>
      <fill>
        <patternFill>
          <bgColor theme="0"/>
        </patternFill>
      </fill>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ont>
        <color rgb="FFFF0000"/>
      </font>
    </dxf>
    <dxf>
      <fill>
        <patternFill>
          <bgColor theme="0"/>
        </patternFill>
      </fill>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auto="1"/>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rgb="FFFF0000"/>
      </font>
    </dxf>
    <dxf>
      <font>
        <color rgb="FFFF0000"/>
      </font>
    </dxf>
    <dxf>
      <font>
        <color auto="1"/>
      </font>
    </dxf>
    <dxf>
      <font>
        <color auto="1"/>
      </font>
    </dxf>
    <dxf>
      <font>
        <color auto="1"/>
      </font>
    </dxf>
    <dxf>
      <fill>
        <patternFill patternType="none">
          <bgColor auto="1"/>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ont>
        <color rgb="FFFF0000"/>
      </font>
    </dxf>
    <dxf>
      <fill>
        <patternFill patternType="none">
          <bgColor auto="1"/>
        </patternFill>
      </fill>
    </dxf>
    <dxf>
      <fill>
        <patternFill>
          <bgColor theme="0"/>
        </patternFill>
      </fill>
    </dxf>
    <dxf>
      <fill>
        <patternFill>
          <bgColor theme="0"/>
        </patternFill>
      </fill>
    </dxf>
    <dxf>
      <font>
        <color rgb="FFFF0000"/>
      </font>
    </dxf>
    <dxf>
      <font>
        <color auto="1"/>
      </font>
    </dxf>
    <dxf>
      <fill>
        <patternFill>
          <bgColor theme="0"/>
        </patternFill>
      </fill>
    </dxf>
    <dxf>
      <fill>
        <patternFill>
          <bgColor theme="0"/>
        </patternFill>
      </fill>
    </dxf>
    <dxf>
      <font>
        <color rgb="FFFF0000"/>
      </font>
    </dxf>
    <dxf>
      <fill>
        <patternFill patternType="none">
          <bgColor auto="1"/>
        </patternFill>
      </fill>
    </dxf>
    <dxf>
      <fill>
        <patternFill patternType="none">
          <bgColor auto="1"/>
        </patternFill>
      </fill>
    </dxf>
    <dxf>
      <font>
        <color auto="1"/>
      </font>
    </dxf>
    <dxf>
      <fill>
        <patternFill>
          <bgColor theme="0"/>
        </patternFill>
      </fill>
    </dxf>
    <dxf>
      <fill>
        <patternFill>
          <bgColor theme="0"/>
        </patternFill>
      </fill>
    </dxf>
    <dxf>
      <font>
        <color rgb="FFFF0000"/>
      </font>
    </dxf>
    <dxf>
      <numFmt numFmtId="185" formatCode="0.0;\-0.0;0;@"/>
    </dxf>
    <dxf>
      <fill>
        <patternFill patternType="none">
          <bgColor auto="1"/>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85" formatCode="0.0;\-0.0;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85" formatCode="0.0;\-0.0;0;@"/>
    </dxf>
    <dxf>
      <fill>
        <patternFill patternType="none">
          <bgColor auto="1"/>
        </patternFill>
      </fill>
    </dxf>
    <dxf>
      <numFmt numFmtId="185" formatCode="0.0;\-0.0;0;@"/>
    </dxf>
    <dxf>
      <fill>
        <patternFill patternType="none">
          <bgColor auto="1"/>
        </patternFill>
      </fill>
    </dxf>
    <dxf>
      <numFmt numFmtId="185" formatCode="0.0;\-0.0;0;@"/>
    </dxf>
    <dxf>
      <fill>
        <patternFill patternType="none">
          <bgColor auto="1"/>
        </patternFill>
      </fill>
    </dxf>
    <dxf>
      <numFmt numFmtId="185" formatCode="0.0;\-0.0;0;@"/>
    </dxf>
    <dxf>
      <fill>
        <patternFill patternType="none">
          <bgColor auto="1"/>
        </patternFill>
      </fill>
    </dxf>
    <dxf>
      <fill>
        <patternFill patternType="none">
          <bgColor auto="1"/>
        </patternFill>
      </fill>
    </dxf>
    <dxf>
      <numFmt numFmtId="185" formatCode="0.0;\-0.0;0;@"/>
    </dxf>
    <dxf>
      <fill>
        <patternFill patternType="none">
          <bgColor auto="1"/>
        </patternFill>
      </fill>
    </dxf>
    <dxf>
      <fill>
        <patternFill patternType="none">
          <bgColor auto="1"/>
        </patternFill>
      </fill>
    </dxf>
    <dxf>
      <fill>
        <patternFill patternType="none">
          <bgColor auto="1"/>
        </patternFill>
      </fill>
    </dxf>
    <dxf>
      <font>
        <color theme="0"/>
      </font>
      <fill>
        <patternFill patternType="solid">
          <bgColor theme="0"/>
        </patternFill>
      </fill>
    </dxf>
    <dxf>
      <fill>
        <patternFill patternType="none">
          <bgColor auto="1"/>
        </patternFill>
      </fill>
    </dxf>
    <dxf>
      <numFmt numFmtId="185" formatCode="0.0;\-0.0;0;@"/>
    </dxf>
    <dxf>
      <fill>
        <patternFill patternType="none">
          <bgColor auto="1"/>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E3E31D"/>
      <color rgb="FFC5D9F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6/relationships/vbaProject" Target="vbaProject.bin"/></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Graphisch!$B$7</c:f>
              <c:strCache>
                <c:ptCount val="1"/>
                <c:pt idx="0">
                  <c:v>Qh [kWh/mth]</c:v>
                </c:pt>
              </c:strCache>
            </c:strRef>
          </c:tx>
          <c:spPr>
            <a:solidFill>
              <a:schemeClr val="accent1">
                <a:tint val="77000"/>
              </a:schemeClr>
            </a:solidFill>
            <a:ln>
              <a:noFill/>
            </a:ln>
            <a:effectLst/>
          </c:spPr>
          <c:invertIfNegative val="0"/>
          <c:cat>
            <c:strRef>
              <c:f>Graphisch!$C$6:$N$6</c:f>
              <c:strCache>
                <c:ptCount val="12"/>
                <c:pt idx="0">
                  <c:v>Jan</c:v>
                </c:pt>
                <c:pt idx="1">
                  <c:v>Feb</c:v>
                </c:pt>
                <c:pt idx="2">
                  <c:v>Mrz</c:v>
                </c:pt>
                <c:pt idx="3">
                  <c:v>Apr</c:v>
                </c:pt>
                <c:pt idx="4">
                  <c:v>Mai</c:v>
                </c:pt>
                <c:pt idx="5">
                  <c:v>Jun</c:v>
                </c:pt>
                <c:pt idx="6">
                  <c:v>Jul</c:v>
                </c:pt>
                <c:pt idx="7">
                  <c:v>Aug</c:v>
                </c:pt>
                <c:pt idx="8">
                  <c:v>Sep</c:v>
                </c:pt>
                <c:pt idx="9">
                  <c:v>Okt</c:v>
                </c:pt>
                <c:pt idx="10">
                  <c:v>Nov</c:v>
                </c:pt>
                <c:pt idx="11">
                  <c:v>Dez</c:v>
                </c:pt>
              </c:strCache>
            </c:strRef>
          </c:cat>
          <c:val>
            <c:numRef>
              <c:f>Graphisch!$C$7:$N$7</c:f>
              <c:numCache>
                <c:formatCode>#,##0;\-0;;</c:formatCode>
                <c:ptCount val="12"/>
                <c:pt idx="0">
                  <c:v>1853.0346988447284</c:v>
                </c:pt>
                <c:pt idx="1">
                  <c:v>1541.1238371941781</c:v>
                </c:pt>
                <c:pt idx="2">
                  <c:v>953.61768220406793</c:v>
                </c:pt>
                <c:pt idx="3">
                  <c:v>65.922568763448908</c:v>
                </c:pt>
                <c:pt idx="4">
                  <c:v>5.5374794971044139E-2</c:v>
                </c:pt>
                <c:pt idx="5">
                  <c:v>3.6988813576499524E-6</c:v>
                </c:pt>
                <c:pt idx="6">
                  <c:v>0</c:v>
                </c:pt>
                <c:pt idx="7">
                  <c:v>7.1054273576010019E-15</c:v>
                </c:pt>
                <c:pt idx="8">
                  <c:v>0.24642908936004915</c:v>
                </c:pt>
                <c:pt idx="9">
                  <c:v>267.47724548382575</c:v>
                </c:pt>
                <c:pt idx="10">
                  <c:v>1371.1807751208505</c:v>
                </c:pt>
                <c:pt idx="11">
                  <c:v>1993.755855995526</c:v>
                </c:pt>
              </c:numCache>
            </c:numRef>
          </c:val>
          <c:extLst>
            <c:ext xmlns:c16="http://schemas.microsoft.com/office/drawing/2014/chart" uri="{C3380CC4-5D6E-409C-BE32-E72D297353CC}">
              <c16:uniqueId val="{00000000-884D-4DAC-9F26-5035F8742729}"/>
            </c:ext>
          </c:extLst>
        </c:ser>
        <c:ser>
          <c:idx val="1"/>
          <c:order val="1"/>
          <c:tx>
            <c:strRef>
              <c:f>Graphisch!$B$12</c:f>
              <c:strCache>
                <c:ptCount val="1"/>
                <c:pt idx="0">
                  <c:v>Qh,Referenz [kWh/mth]</c:v>
                </c:pt>
              </c:strCache>
            </c:strRef>
          </c:tx>
          <c:spPr>
            <a:solidFill>
              <a:schemeClr val="accent1">
                <a:shade val="76000"/>
              </a:schemeClr>
            </a:solidFill>
            <a:ln>
              <a:noFill/>
            </a:ln>
            <a:effectLst/>
          </c:spPr>
          <c:invertIfNegative val="0"/>
          <c:cat>
            <c:strRef>
              <c:f>Graphisch!$C$6:$N$6</c:f>
              <c:strCache>
                <c:ptCount val="12"/>
                <c:pt idx="0">
                  <c:v>Jan</c:v>
                </c:pt>
                <c:pt idx="1">
                  <c:v>Feb</c:v>
                </c:pt>
                <c:pt idx="2">
                  <c:v>Mrz</c:v>
                </c:pt>
                <c:pt idx="3">
                  <c:v>Apr</c:v>
                </c:pt>
                <c:pt idx="4">
                  <c:v>Mai</c:v>
                </c:pt>
                <c:pt idx="5">
                  <c:v>Jun</c:v>
                </c:pt>
                <c:pt idx="6">
                  <c:v>Jul</c:v>
                </c:pt>
                <c:pt idx="7">
                  <c:v>Aug</c:v>
                </c:pt>
                <c:pt idx="8">
                  <c:v>Sep</c:v>
                </c:pt>
                <c:pt idx="9">
                  <c:v>Okt</c:v>
                </c:pt>
                <c:pt idx="10">
                  <c:v>Nov</c:v>
                </c:pt>
                <c:pt idx="11">
                  <c:v>Dez</c:v>
                </c:pt>
              </c:strCache>
            </c:strRef>
          </c:cat>
          <c:val>
            <c:numRef>
              <c:f>Graphisch!$C$12:$N$12</c:f>
              <c:numCache>
                <c:formatCode>#,##0;\-0;;</c:formatCode>
                <c:ptCount val="12"/>
                <c:pt idx="0">
                  <c:v>2342.6183540471816</c:v>
                </c:pt>
                <c:pt idx="1">
                  <c:v>1959.54461556047</c:v>
                </c:pt>
                <c:pt idx="2">
                  <c:v>1292.7738509916835</c:v>
                </c:pt>
                <c:pt idx="3">
                  <c:v>159.09738060749237</c:v>
                </c:pt>
                <c:pt idx="4">
                  <c:v>0.48848015354519703</c:v>
                </c:pt>
                <c:pt idx="5">
                  <c:v>1.1606278587805718E-4</c:v>
                </c:pt>
                <c:pt idx="6">
                  <c:v>0</c:v>
                </c:pt>
                <c:pt idx="7">
                  <c:v>0</c:v>
                </c:pt>
                <c:pt idx="8">
                  <c:v>1.8352983636243607</c:v>
                </c:pt>
                <c:pt idx="9">
                  <c:v>460.38828380561472</c:v>
                </c:pt>
                <c:pt idx="10">
                  <c:v>1766.6298344007319</c:v>
                </c:pt>
                <c:pt idx="11">
                  <c:v>2503.7389042450395</c:v>
                </c:pt>
              </c:numCache>
            </c:numRef>
          </c:val>
          <c:extLst>
            <c:ext xmlns:c16="http://schemas.microsoft.com/office/drawing/2014/chart" uri="{C3380CC4-5D6E-409C-BE32-E72D297353CC}">
              <c16:uniqueId val="{00000001-884D-4DAC-9F26-5035F8742729}"/>
            </c:ext>
          </c:extLst>
        </c:ser>
        <c:dLbls>
          <c:showLegendKey val="0"/>
          <c:showVal val="0"/>
          <c:showCatName val="0"/>
          <c:showSerName val="0"/>
          <c:showPercent val="0"/>
          <c:showBubbleSize val="0"/>
        </c:dLbls>
        <c:gapWidth val="150"/>
        <c:axId val="-1885533840"/>
        <c:axId val="-1885536016"/>
      </c:barChart>
      <c:catAx>
        <c:axId val="-188553384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Arial" pitchFamily="34" charset="0"/>
                <a:ea typeface="+mn-ea"/>
                <a:cs typeface="Arial" pitchFamily="34" charset="0"/>
              </a:defRPr>
            </a:pPr>
            <a:endParaRPr lang="de-DE"/>
          </a:p>
        </c:txPr>
        <c:crossAx val="-1885536016"/>
        <c:crosses val="autoZero"/>
        <c:auto val="1"/>
        <c:lblAlgn val="ctr"/>
        <c:lblOffset val="100"/>
        <c:noMultiLvlLbl val="0"/>
      </c:catAx>
      <c:valAx>
        <c:axId val="-1885536016"/>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Arial" pitchFamily="34" charset="0"/>
                <a:ea typeface="+mn-ea"/>
                <a:cs typeface="Arial" pitchFamily="34" charset="0"/>
              </a:defRPr>
            </a:pPr>
            <a:endParaRPr lang="de-DE"/>
          </a:p>
        </c:txPr>
        <c:crossAx val="-1885533840"/>
        <c:crosses val="autoZero"/>
        <c:crossBetween val="between"/>
      </c:valAx>
      <c:spPr>
        <a:solidFill>
          <a:schemeClr val="bg1"/>
        </a:solidFill>
        <a:ln>
          <a:noFill/>
        </a:ln>
        <a:effectLst/>
      </c:spPr>
    </c:plotArea>
    <c:legend>
      <c:legendPos val="r"/>
      <c:legendEntry>
        <c:idx val="1"/>
        <c:txPr>
          <a:bodyPr rot="0" spcFirstLastPara="1" vertOverflow="ellipsis" vert="horz" wrap="square" anchor="ctr" anchorCtr="1"/>
          <a:lstStyle/>
          <a:p>
            <a:pPr>
              <a:defRPr sz="900" b="0" i="0" u="none" strike="noStrike" kern="1200" baseline="0">
                <a:solidFill>
                  <a:schemeClr val="bg1">
                    <a:lumMod val="65000"/>
                  </a:schemeClr>
                </a:solidFill>
                <a:latin typeface="Arial" pitchFamily="34" charset="0"/>
                <a:ea typeface="+mn-ea"/>
                <a:cs typeface="Arial" pitchFamily="34" charset="0"/>
              </a:defRPr>
            </a:pPr>
            <a:endParaRPr lang="de-DE"/>
          </a:p>
        </c:txPr>
      </c:legendEntry>
      <c:layout>
        <c:manualLayout>
          <c:xMode val="edge"/>
          <c:yMode val="edge"/>
          <c:x val="0.78508925800023532"/>
          <c:y val="5.1992510082581184E-2"/>
          <c:w val="0.21491074199976476"/>
          <c:h val="0.1824138979578774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itchFamily="34" charset="0"/>
              <a:ea typeface="+mn-ea"/>
              <a:cs typeface="Arial" pitchFamily="34" charset="0"/>
            </a:defRPr>
          </a:pPr>
          <a:endParaRPr lang="de-DE"/>
        </a:p>
      </c:txPr>
    </c:legend>
    <c:plotVisOnly val="1"/>
    <c:dispBlanksAs val="gap"/>
    <c:showDLblsOverMax val="0"/>
  </c:chart>
  <c:spPr>
    <a:solidFill>
      <a:schemeClr val="bg1"/>
    </a:solidFill>
    <a:ln w="9525" cap="flat" cmpd="sng" algn="ctr">
      <a:noFill/>
      <a:prstDash val="solid"/>
      <a:round/>
    </a:ln>
    <a:effectLst/>
  </c:spPr>
  <c:txPr>
    <a:bodyPr/>
    <a:lstStyle/>
    <a:p>
      <a:pPr>
        <a:defRPr sz="9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US"/>
              <a:t>Transmissionswärmeverlust</a:t>
            </a:r>
            <a:r>
              <a:rPr lang="en-US" baseline="0"/>
              <a:t> H</a:t>
            </a:r>
            <a:r>
              <a:rPr lang="en-US" baseline="-25000"/>
              <a:t>T</a:t>
            </a:r>
            <a:r>
              <a:rPr lang="en-US" baseline="0"/>
              <a:t> [W/K]</a:t>
            </a:r>
            <a:endParaRPr lang="en-US"/>
          </a:p>
        </c:rich>
      </c:tx>
      <c:overlay val="0"/>
    </c:title>
    <c:autoTitleDeleted val="0"/>
    <c:plotArea>
      <c:layout/>
      <c:pieChart>
        <c:varyColors val="1"/>
        <c:ser>
          <c:idx val="0"/>
          <c:order val="0"/>
          <c:tx>
            <c:strRef>
              <c:f>Graphisch!$E$40</c:f>
              <c:strCache>
                <c:ptCount val="1"/>
                <c:pt idx="0">
                  <c:v>Gebäude</c:v>
                </c:pt>
              </c:strCache>
            </c:strRef>
          </c:tx>
          <c:dPt>
            <c:idx val="0"/>
            <c:bubble3D val="0"/>
            <c:spPr>
              <a:solidFill>
                <a:schemeClr val="accent1"/>
              </a:solidFill>
            </c:spPr>
            <c:extLst>
              <c:ext xmlns:c16="http://schemas.microsoft.com/office/drawing/2014/chart" uri="{C3380CC4-5D6E-409C-BE32-E72D297353CC}">
                <c16:uniqueId val="{00000001-6EF9-4C63-A8C5-D9BB5063E525}"/>
              </c:ext>
            </c:extLst>
          </c:dPt>
          <c:dPt>
            <c:idx val="1"/>
            <c:bubble3D val="0"/>
            <c:spPr>
              <a:solidFill>
                <a:srgbClr val="FFFF00"/>
              </a:solidFill>
            </c:spPr>
            <c:extLst>
              <c:ext xmlns:c16="http://schemas.microsoft.com/office/drawing/2014/chart" uri="{C3380CC4-5D6E-409C-BE32-E72D297353CC}">
                <c16:uniqueId val="{00000003-6EF9-4C63-A8C5-D9BB5063E525}"/>
              </c:ext>
            </c:extLst>
          </c:dPt>
          <c:dPt>
            <c:idx val="2"/>
            <c:bubble3D val="0"/>
            <c:spPr>
              <a:solidFill>
                <a:srgbClr val="FFC000"/>
              </a:solidFill>
            </c:spPr>
            <c:extLst>
              <c:ext xmlns:c16="http://schemas.microsoft.com/office/drawing/2014/chart" uri="{C3380CC4-5D6E-409C-BE32-E72D297353CC}">
                <c16:uniqueId val="{00000005-6EF9-4C63-A8C5-D9BB5063E525}"/>
              </c:ext>
            </c:extLst>
          </c:dPt>
          <c:dPt>
            <c:idx val="3"/>
            <c:bubble3D val="0"/>
            <c:spPr>
              <a:solidFill>
                <a:schemeClr val="accent3">
                  <a:lumMod val="50000"/>
                </a:schemeClr>
              </a:solidFill>
            </c:spPr>
            <c:extLst>
              <c:ext xmlns:c16="http://schemas.microsoft.com/office/drawing/2014/chart" uri="{C3380CC4-5D6E-409C-BE32-E72D297353CC}">
                <c16:uniqueId val="{00000007-6EF9-4C63-A8C5-D9BB5063E525}"/>
              </c:ext>
            </c:extLst>
          </c:dPt>
          <c:dPt>
            <c:idx val="4"/>
            <c:bubble3D val="0"/>
            <c:spPr>
              <a:solidFill>
                <a:schemeClr val="accent3">
                  <a:lumMod val="75000"/>
                </a:schemeClr>
              </a:solidFill>
            </c:spPr>
            <c:extLst>
              <c:ext xmlns:c16="http://schemas.microsoft.com/office/drawing/2014/chart" uri="{C3380CC4-5D6E-409C-BE32-E72D297353CC}">
                <c16:uniqueId val="{00000009-6EF9-4C63-A8C5-D9BB5063E525}"/>
              </c:ext>
            </c:extLst>
          </c:dPt>
          <c:dPt>
            <c:idx val="5"/>
            <c:bubble3D val="0"/>
            <c:spPr>
              <a:solidFill>
                <a:schemeClr val="accent3">
                  <a:lumMod val="60000"/>
                  <a:lumOff val="40000"/>
                </a:schemeClr>
              </a:solidFill>
            </c:spPr>
            <c:extLst>
              <c:ext xmlns:c16="http://schemas.microsoft.com/office/drawing/2014/chart" uri="{C3380CC4-5D6E-409C-BE32-E72D297353CC}">
                <c16:uniqueId val="{0000000B-6EF9-4C63-A8C5-D9BB5063E525}"/>
              </c:ext>
            </c:extLst>
          </c:dPt>
          <c:dPt>
            <c:idx val="6"/>
            <c:bubble3D val="0"/>
            <c:spPr>
              <a:solidFill>
                <a:schemeClr val="accent3">
                  <a:lumMod val="40000"/>
                  <a:lumOff val="60000"/>
                </a:schemeClr>
              </a:solidFill>
            </c:spPr>
            <c:extLst>
              <c:ext xmlns:c16="http://schemas.microsoft.com/office/drawing/2014/chart" uri="{C3380CC4-5D6E-409C-BE32-E72D297353CC}">
                <c16:uniqueId val="{0000000D-6EF9-4C63-A8C5-D9BB5063E525}"/>
              </c:ext>
            </c:extLst>
          </c:dPt>
          <c:dPt>
            <c:idx val="7"/>
            <c:bubble3D val="0"/>
            <c:spPr>
              <a:solidFill>
                <a:schemeClr val="accent3">
                  <a:lumMod val="20000"/>
                  <a:lumOff val="80000"/>
                </a:schemeClr>
              </a:solidFill>
            </c:spPr>
            <c:extLst>
              <c:ext xmlns:c16="http://schemas.microsoft.com/office/drawing/2014/chart" uri="{C3380CC4-5D6E-409C-BE32-E72D297353CC}">
                <c16:uniqueId val="{0000000F-6EF9-4C63-A8C5-D9BB5063E525}"/>
              </c:ext>
            </c:extLst>
          </c:dPt>
          <c:dPt>
            <c:idx val="8"/>
            <c:bubble3D val="0"/>
            <c:spPr>
              <a:solidFill>
                <a:schemeClr val="accent6">
                  <a:lumMod val="50000"/>
                </a:schemeClr>
              </a:solidFill>
            </c:spPr>
            <c:extLst>
              <c:ext xmlns:c16="http://schemas.microsoft.com/office/drawing/2014/chart" uri="{C3380CC4-5D6E-409C-BE32-E72D297353CC}">
                <c16:uniqueId val="{00000011-6EF9-4C63-A8C5-D9BB5063E525}"/>
              </c:ext>
            </c:extLst>
          </c:dPt>
          <c:dPt>
            <c:idx val="9"/>
            <c:bubble3D val="0"/>
            <c:spPr>
              <a:solidFill>
                <a:schemeClr val="bg1">
                  <a:lumMod val="50000"/>
                </a:schemeClr>
              </a:solidFill>
            </c:spPr>
            <c:extLst>
              <c:ext xmlns:c16="http://schemas.microsoft.com/office/drawing/2014/chart" uri="{C3380CC4-5D6E-409C-BE32-E72D297353CC}">
                <c16:uniqueId val="{00000013-6EF9-4C63-A8C5-D9BB5063E525}"/>
              </c:ext>
            </c:extLst>
          </c:dPt>
          <c:dLbls>
            <c:spPr>
              <a:noFill/>
              <a:ln>
                <a:noFill/>
              </a:ln>
              <a:effectLst/>
            </c:spPr>
            <c:showLegendKey val="0"/>
            <c:showVal val="0"/>
            <c:showCatName val="1"/>
            <c:showSerName val="0"/>
            <c:showPercent val="0"/>
            <c:showBubbleSize val="0"/>
            <c:showLeaderLines val="1"/>
            <c:extLst>
              <c:ext xmlns:c15="http://schemas.microsoft.com/office/drawing/2012/chart" uri="{CE6537A1-D6FC-4f65-9D91-7224C49458BB}"/>
            </c:extLst>
          </c:dLbls>
          <c:cat>
            <c:strRef>
              <c:f>Graphisch!$D$41:$D$50</c:f>
              <c:strCache>
                <c:ptCount val="10"/>
                <c:pt idx="0">
                  <c:v>AW</c:v>
                </c:pt>
                <c:pt idx="1">
                  <c:v>W</c:v>
                </c:pt>
                <c:pt idx="2">
                  <c:v>T</c:v>
                </c:pt>
                <c:pt idx="3">
                  <c:v>D</c:v>
                </c:pt>
                <c:pt idx="4">
                  <c:v>DW</c:v>
                </c:pt>
                <c:pt idx="5">
                  <c:v>DG</c:v>
                </c:pt>
                <c:pt idx="6">
                  <c:v>AbW</c:v>
                </c:pt>
                <c:pt idx="7">
                  <c:v>AB</c:v>
                </c:pt>
                <c:pt idx="8">
                  <c:v>G</c:v>
                </c:pt>
                <c:pt idx="9">
                  <c:v>WB</c:v>
                </c:pt>
              </c:strCache>
            </c:strRef>
          </c:cat>
          <c:val>
            <c:numRef>
              <c:f>Graphisch!$E$41:$E$50</c:f>
              <c:numCache>
                <c:formatCode>0.00;\-0.00;0;</c:formatCode>
                <c:ptCount val="10"/>
                <c:pt idx="0">
                  <c:v>30.211430214140368</c:v>
                </c:pt>
                <c:pt idx="1">
                  <c:v>29.654999999999998</c:v>
                </c:pt>
                <c:pt idx="2">
                  <c:v>6.8580000000000005</c:v>
                </c:pt>
                <c:pt idx="3">
                  <c:v>8.3503194928904119</c:v>
                </c:pt>
                <c:pt idx="4">
                  <c:v>0</c:v>
                </c:pt>
                <c:pt idx="5">
                  <c:v>9.0562308066258961</c:v>
                </c:pt>
                <c:pt idx="6">
                  <c:v>0</c:v>
                </c:pt>
                <c:pt idx="7">
                  <c:v>0</c:v>
                </c:pt>
                <c:pt idx="8">
                  <c:v>27.655864006431546</c:v>
                </c:pt>
                <c:pt idx="9">
                  <c:v>6.5216844000000007</c:v>
                </c:pt>
              </c:numCache>
            </c:numRef>
          </c:val>
          <c:extLst>
            <c:ext xmlns:c16="http://schemas.microsoft.com/office/drawing/2014/chart" uri="{C3380CC4-5D6E-409C-BE32-E72D297353CC}">
              <c16:uniqueId val="{00000014-6EF9-4C63-A8C5-D9BB5063E525}"/>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zero"/>
    <c:showDLblsOverMax val="0"/>
  </c:chart>
  <c:spPr>
    <a:ln>
      <a:noFill/>
    </a:ln>
  </c:spPr>
  <c:txPr>
    <a:bodyPr/>
    <a:lstStyle/>
    <a:p>
      <a:pPr>
        <a:defRPr sz="9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Bilanzanteile</a:t>
            </a:r>
            <a:r>
              <a:rPr lang="de-DE" baseline="0"/>
              <a:t> Heizwärmebedarf - Flächenbezug [kWh/(m²a)] - Gebäude</a:t>
            </a:r>
            <a:endParaRPr lang="de-DE"/>
          </a:p>
        </c:rich>
      </c:tx>
      <c:overlay val="0"/>
    </c:title>
    <c:autoTitleDeleted val="0"/>
    <c:plotArea>
      <c:layout/>
      <c:barChart>
        <c:barDir val="col"/>
        <c:grouping val="stacked"/>
        <c:varyColors val="0"/>
        <c:ser>
          <c:idx val="12"/>
          <c:order val="0"/>
          <c:tx>
            <c:strRef>
              <c:f>Graphisch!$A$108</c:f>
              <c:strCache>
                <c:ptCount val="1"/>
                <c:pt idx="0">
                  <c:v>interne Wärmegewinne</c:v>
                </c:pt>
              </c:strCache>
            </c:strRef>
          </c:tx>
          <c:spPr>
            <a:solidFill>
              <a:schemeClr val="accent2"/>
            </a:solidFill>
          </c:spPr>
          <c:invertIfNegative val="0"/>
          <c:cat>
            <c:strRef>
              <c:f>Graphisch!$L$95:$M$95</c:f>
              <c:strCache>
                <c:ptCount val="2"/>
                <c:pt idx="0">
                  <c:v>Verluste</c:v>
                </c:pt>
                <c:pt idx="1">
                  <c:v>Gewinne</c:v>
                </c:pt>
              </c:strCache>
            </c:strRef>
          </c:cat>
          <c:val>
            <c:numRef>
              <c:f>Graphisch!$L$108:$M$108</c:f>
              <c:numCache>
                <c:formatCode>0.0;\-0.0;0;</c:formatCode>
                <c:ptCount val="2"/>
                <c:pt idx="1">
                  <c:v>28.834090518878703</c:v>
                </c:pt>
              </c:numCache>
            </c:numRef>
          </c:val>
          <c:extLst>
            <c:ext xmlns:c16="http://schemas.microsoft.com/office/drawing/2014/chart" uri="{C3380CC4-5D6E-409C-BE32-E72D297353CC}">
              <c16:uniqueId val="{00000000-913A-4926-96D9-C52B3F74C141}"/>
            </c:ext>
          </c:extLst>
        </c:ser>
        <c:ser>
          <c:idx val="11"/>
          <c:order val="1"/>
          <c:tx>
            <c:strRef>
              <c:f>Graphisch!$A$107</c:f>
              <c:strCache>
                <c:ptCount val="1"/>
                <c:pt idx="0">
                  <c:v>Lüftung</c:v>
                </c:pt>
              </c:strCache>
            </c:strRef>
          </c:tx>
          <c:spPr>
            <a:solidFill>
              <a:schemeClr val="accent4">
                <a:lumMod val="60000"/>
                <a:lumOff val="40000"/>
              </a:schemeClr>
            </a:solidFill>
          </c:spPr>
          <c:invertIfNegative val="0"/>
          <c:cat>
            <c:strRef>
              <c:f>Graphisch!$L$95:$M$95</c:f>
              <c:strCache>
                <c:ptCount val="2"/>
                <c:pt idx="0">
                  <c:v>Verluste</c:v>
                </c:pt>
                <c:pt idx="1">
                  <c:v>Gewinne</c:v>
                </c:pt>
              </c:strCache>
            </c:strRef>
          </c:cat>
          <c:val>
            <c:numRef>
              <c:f>Graphisch!$L$107:$M$107</c:f>
              <c:numCache>
                <c:formatCode>0.0;\-0.0;0;</c:formatCode>
                <c:ptCount val="2"/>
                <c:pt idx="0">
                  <c:v>38.960911501678133</c:v>
                </c:pt>
              </c:numCache>
            </c:numRef>
          </c:val>
          <c:extLst>
            <c:ext xmlns:c16="http://schemas.microsoft.com/office/drawing/2014/chart" uri="{C3380CC4-5D6E-409C-BE32-E72D297353CC}">
              <c16:uniqueId val="{00000001-913A-4926-96D9-C52B3F74C141}"/>
            </c:ext>
          </c:extLst>
        </c:ser>
        <c:ser>
          <c:idx val="10"/>
          <c:order val="2"/>
          <c:tx>
            <c:strRef>
              <c:f>Graphisch!$A$106</c:f>
              <c:strCache>
                <c:ptCount val="1"/>
                <c:pt idx="0">
                  <c:v>Wärmebrücken</c:v>
                </c:pt>
              </c:strCache>
            </c:strRef>
          </c:tx>
          <c:spPr>
            <a:solidFill>
              <a:schemeClr val="bg1">
                <a:lumMod val="50000"/>
              </a:schemeClr>
            </a:solidFill>
          </c:spPr>
          <c:invertIfNegative val="0"/>
          <c:cat>
            <c:strRef>
              <c:f>Graphisch!$L$95:$M$95</c:f>
              <c:strCache>
                <c:ptCount val="2"/>
                <c:pt idx="0">
                  <c:v>Verluste</c:v>
                </c:pt>
                <c:pt idx="1">
                  <c:v>Gewinne</c:v>
                </c:pt>
              </c:strCache>
            </c:strRef>
          </c:cat>
          <c:val>
            <c:numRef>
              <c:f>Graphisch!$L$106:$M$106</c:f>
              <c:numCache>
                <c:formatCode>0.0;\-0.0;0;</c:formatCode>
                <c:ptCount val="2"/>
                <c:pt idx="0">
                  <c:v>2.4535374887331809</c:v>
                </c:pt>
              </c:numCache>
            </c:numRef>
          </c:val>
          <c:extLst>
            <c:ext xmlns:c16="http://schemas.microsoft.com/office/drawing/2014/chart" uri="{C3380CC4-5D6E-409C-BE32-E72D297353CC}">
              <c16:uniqueId val="{00000002-913A-4926-96D9-C52B3F74C141}"/>
            </c:ext>
          </c:extLst>
        </c:ser>
        <c:ser>
          <c:idx val="9"/>
          <c:order val="3"/>
          <c:tx>
            <c:strRef>
              <c:f>Graphisch!$A$105</c:f>
              <c:strCache>
                <c:ptCount val="1"/>
                <c:pt idx="0">
                  <c:v>unterer Abschluss</c:v>
                </c:pt>
              </c:strCache>
            </c:strRef>
          </c:tx>
          <c:spPr>
            <a:solidFill>
              <a:schemeClr val="accent6">
                <a:lumMod val="50000"/>
              </a:schemeClr>
            </a:solidFill>
          </c:spPr>
          <c:invertIfNegative val="0"/>
          <c:cat>
            <c:strRef>
              <c:f>Graphisch!$L$95:$M$95</c:f>
              <c:strCache>
                <c:ptCount val="2"/>
                <c:pt idx="0">
                  <c:v>Verluste</c:v>
                </c:pt>
                <c:pt idx="1">
                  <c:v>Gewinne</c:v>
                </c:pt>
              </c:strCache>
            </c:strRef>
          </c:cat>
          <c:val>
            <c:numRef>
              <c:f>Graphisch!$L$105:$M$105</c:f>
              <c:numCache>
                <c:formatCode>0.0;\-0.0;0;</c:formatCode>
                <c:ptCount val="2"/>
                <c:pt idx="0">
                  <c:v>10.404474513223363</c:v>
                </c:pt>
              </c:numCache>
            </c:numRef>
          </c:val>
          <c:extLst>
            <c:ext xmlns:c16="http://schemas.microsoft.com/office/drawing/2014/chart" uri="{C3380CC4-5D6E-409C-BE32-E72D297353CC}">
              <c16:uniqueId val="{00000003-913A-4926-96D9-C52B3F74C141}"/>
            </c:ext>
          </c:extLst>
        </c:ser>
        <c:ser>
          <c:idx val="8"/>
          <c:order val="4"/>
          <c:tx>
            <c:strRef>
              <c:f>Graphisch!$A$104</c:f>
              <c:strCache>
                <c:ptCount val="1"/>
                <c:pt idx="0">
                  <c:v>Innenwände</c:v>
                </c:pt>
              </c:strCache>
            </c:strRef>
          </c:tx>
          <c:spPr>
            <a:solidFill>
              <a:schemeClr val="accent3">
                <a:lumMod val="40000"/>
                <a:lumOff val="60000"/>
              </a:schemeClr>
            </a:solidFill>
          </c:spPr>
          <c:invertIfNegative val="0"/>
          <c:cat>
            <c:strRef>
              <c:f>Graphisch!$L$95:$M$95</c:f>
              <c:strCache>
                <c:ptCount val="2"/>
                <c:pt idx="0">
                  <c:v>Verluste</c:v>
                </c:pt>
                <c:pt idx="1">
                  <c:v>Gewinne</c:v>
                </c:pt>
              </c:strCache>
            </c:strRef>
          </c:cat>
          <c:val>
            <c:numRef>
              <c:f>Graphisch!$L$104:$M$104</c:f>
              <c:numCache>
                <c:formatCode>0.0;\-0.0;0;</c:formatCode>
                <c:ptCount val="2"/>
                <c:pt idx="0">
                  <c:v>0</c:v>
                </c:pt>
              </c:numCache>
            </c:numRef>
          </c:val>
          <c:extLst>
            <c:ext xmlns:c16="http://schemas.microsoft.com/office/drawing/2014/chart" uri="{C3380CC4-5D6E-409C-BE32-E72D297353CC}">
              <c16:uniqueId val="{00000004-913A-4926-96D9-C52B3F74C141}"/>
            </c:ext>
          </c:extLst>
        </c:ser>
        <c:ser>
          <c:idx val="7"/>
          <c:order val="5"/>
          <c:tx>
            <c:strRef>
              <c:f>Graphisch!$A$103</c:f>
              <c:strCache>
                <c:ptCount val="1"/>
                <c:pt idx="0">
                  <c:v>Abseitenwände/-decken</c:v>
                </c:pt>
              </c:strCache>
            </c:strRef>
          </c:tx>
          <c:spPr>
            <a:solidFill>
              <a:schemeClr val="accent3">
                <a:lumMod val="60000"/>
                <a:lumOff val="40000"/>
              </a:schemeClr>
            </a:solidFill>
          </c:spPr>
          <c:invertIfNegative val="0"/>
          <c:cat>
            <c:strRef>
              <c:f>Graphisch!$L$95:$M$95</c:f>
              <c:strCache>
                <c:ptCount val="2"/>
                <c:pt idx="0">
                  <c:v>Verluste</c:v>
                </c:pt>
                <c:pt idx="1">
                  <c:v>Gewinne</c:v>
                </c:pt>
              </c:strCache>
            </c:strRef>
          </c:cat>
          <c:val>
            <c:numRef>
              <c:f>Graphisch!$L$103:$M$103</c:f>
              <c:numCache>
                <c:formatCode>0.0;\-0.0;0;</c:formatCode>
                <c:ptCount val="2"/>
                <c:pt idx="0">
                  <c:v>0</c:v>
                </c:pt>
              </c:numCache>
            </c:numRef>
          </c:val>
          <c:extLst>
            <c:ext xmlns:c16="http://schemas.microsoft.com/office/drawing/2014/chart" uri="{C3380CC4-5D6E-409C-BE32-E72D297353CC}">
              <c16:uniqueId val="{00000005-913A-4926-96D9-C52B3F74C141}"/>
            </c:ext>
          </c:extLst>
        </c:ser>
        <c:ser>
          <c:idx val="6"/>
          <c:order val="6"/>
          <c:tx>
            <c:strRef>
              <c:f>Graphisch!$A$102</c:f>
              <c:strCache>
                <c:ptCount val="1"/>
                <c:pt idx="0">
                  <c:v>oberste Geschossdecke</c:v>
                </c:pt>
              </c:strCache>
            </c:strRef>
          </c:tx>
          <c:spPr>
            <a:solidFill>
              <a:schemeClr val="accent3">
                <a:lumMod val="75000"/>
              </a:schemeClr>
            </a:solidFill>
          </c:spPr>
          <c:invertIfNegative val="0"/>
          <c:cat>
            <c:strRef>
              <c:f>Graphisch!$L$95:$M$95</c:f>
              <c:strCache>
                <c:ptCount val="2"/>
                <c:pt idx="0">
                  <c:v>Verluste</c:v>
                </c:pt>
                <c:pt idx="1">
                  <c:v>Gewinne</c:v>
                </c:pt>
              </c:strCache>
            </c:strRef>
          </c:cat>
          <c:val>
            <c:numRef>
              <c:f>Graphisch!$L$102:$M$102</c:f>
              <c:numCache>
                <c:formatCode>0.0;\-0.0;0;</c:formatCode>
                <c:ptCount val="2"/>
                <c:pt idx="0">
                  <c:v>3.4070648666588288</c:v>
                </c:pt>
              </c:numCache>
            </c:numRef>
          </c:val>
          <c:extLst>
            <c:ext xmlns:c16="http://schemas.microsoft.com/office/drawing/2014/chart" uri="{C3380CC4-5D6E-409C-BE32-E72D297353CC}">
              <c16:uniqueId val="{00000006-913A-4926-96D9-C52B3F74C141}"/>
            </c:ext>
          </c:extLst>
        </c:ser>
        <c:ser>
          <c:idx val="5"/>
          <c:order val="7"/>
          <c:tx>
            <c:strRef>
              <c:f>Graphisch!$A$101</c:f>
              <c:strCache>
                <c:ptCount val="1"/>
                <c:pt idx="0">
                  <c:v>Dachfenster</c:v>
                </c:pt>
              </c:strCache>
            </c:strRef>
          </c:tx>
          <c:spPr>
            <a:solidFill>
              <a:srgbClr val="FFFF00"/>
            </a:solidFill>
          </c:spPr>
          <c:invertIfNegative val="0"/>
          <c:cat>
            <c:strRef>
              <c:f>Graphisch!$L$95:$M$95</c:f>
              <c:strCache>
                <c:ptCount val="2"/>
                <c:pt idx="0">
                  <c:v>Verluste</c:v>
                </c:pt>
                <c:pt idx="1">
                  <c:v>Gewinne</c:v>
                </c:pt>
              </c:strCache>
            </c:strRef>
          </c:cat>
          <c:val>
            <c:numRef>
              <c:f>Graphisch!$L$101:$M$101</c:f>
              <c:numCache>
                <c:formatCode>0.0;\-0.0;0;</c:formatCode>
                <c:ptCount val="2"/>
                <c:pt idx="0">
                  <c:v>0</c:v>
                </c:pt>
                <c:pt idx="1">
                  <c:v>0</c:v>
                </c:pt>
              </c:numCache>
            </c:numRef>
          </c:val>
          <c:extLst>
            <c:ext xmlns:c16="http://schemas.microsoft.com/office/drawing/2014/chart" uri="{C3380CC4-5D6E-409C-BE32-E72D297353CC}">
              <c16:uniqueId val="{00000007-913A-4926-96D9-C52B3F74C141}"/>
            </c:ext>
          </c:extLst>
        </c:ser>
        <c:ser>
          <c:idx val="4"/>
          <c:order val="8"/>
          <c:tx>
            <c:strRef>
              <c:f>Graphisch!$A$100</c:f>
              <c:strCache>
                <c:ptCount val="1"/>
                <c:pt idx="0">
                  <c:v>Dach</c:v>
                </c:pt>
              </c:strCache>
            </c:strRef>
          </c:tx>
          <c:spPr>
            <a:solidFill>
              <a:schemeClr val="accent3">
                <a:lumMod val="50000"/>
              </a:schemeClr>
            </a:solidFill>
          </c:spPr>
          <c:invertIfNegative val="0"/>
          <c:cat>
            <c:strRef>
              <c:f>Graphisch!$L$95:$M$95</c:f>
              <c:strCache>
                <c:ptCount val="2"/>
                <c:pt idx="0">
                  <c:v>Verluste</c:v>
                </c:pt>
                <c:pt idx="1">
                  <c:v>Gewinne</c:v>
                </c:pt>
              </c:strCache>
            </c:strRef>
          </c:cat>
          <c:val>
            <c:numRef>
              <c:f>Graphisch!$L$100:$M$100</c:f>
              <c:numCache>
                <c:formatCode>0.0;\-0.0;0;</c:formatCode>
                <c:ptCount val="2"/>
                <c:pt idx="0">
                  <c:v>3.141492390939074</c:v>
                </c:pt>
                <c:pt idx="1">
                  <c:v>0.10607727318957773</c:v>
                </c:pt>
              </c:numCache>
            </c:numRef>
          </c:val>
          <c:extLst>
            <c:ext xmlns:c16="http://schemas.microsoft.com/office/drawing/2014/chart" uri="{C3380CC4-5D6E-409C-BE32-E72D297353CC}">
              <c16:uniqueId val="{00000008-913A-4926-96D9-C52B3F74C141}"/>
            </c:ext>
          </c:extLst>
        </c:ser>
        <c:ser>
          <c:idx val="3"/>
          <c:order val="9"/>
          <c:tx>
            <c:strRef>
              <c:f>Graphisch!$A$99</c:f>
              <c:strCache>
                <c:ptCount val="1"/>
                <c:pt idx="0">
                  <c:v>Türen</c:v>
                </c:pt>
              </c:strCache>
            </c:strRef>
          </c:tx>
          <c:spPr>
            <a:solidFill>
              <a:srgbClr val="FFC000"/>
            </a:solidFill>
          </c:spPr>
          <c:invertIfNegative val="0"/>
          <c:cat>
            <c:strRef>
              <c:f>Graphisch!$L$95:$M$95</c:f>
              <c:strCache>
                <c:ptCount val="2"/>
                <c:pt idx="0">
                  <c:v>Verluste</c:v>
                </c:pt>
                <c:pt idx="1">
                  <c:v>Gewinne</c:v>
                </c:pt>
              </c:strCache>
            </c:strRef>
          </c:cat>
          <c:val>
            <c:numRef>
              <c:f>Graphisch!$L$99:$M$99</c:f>
              <c:numCache>
                <c:formatCode>0.0;\-0.0;0;</c:formatCode>
                <c:ptCount val="2"/>
                <c:pt idx="0">
                  <c:v>2.5800635335454367</c:v>
                </c:pt>
                <c:pt idx="1">
                  <c:v>-1.0025759883554039E-2</c:v>
                </c:pt>
              </c:numCache>
            </c:numRef>
          </c:val>
          <c:extLst>
            <c:ext xmlns:c16="http://schemas.microsoft.com/office/drawing/2014/chart" uri="{C3380CC4-5D6E-409C-BE32-E72D297353CC}">
              <c16:uniqueId val="{00000009-913A-4926-96D9-C52B3F74C141}"/>
            </c:ext>
          </c:extLst>
        </c:ser>
        <c:ser>
          <c:idx val="2"/>
          <c:order val="10"/>
          <c:tx>
            <c:strRef>
              <c:f>Graphisch!$A$98</c:f>
              <c:strCache>
                <c:ptCount val="1"/>
                <c:pt idx="0">
                  <c:v>Fenster</c:v>
                </c:pt>
              </c:strCache>
            </c:strRef>
          </c:tx>
          <c:spPr>
            <a:solidFill>
              <a:srgbClr val="FFFF00"/>
            </a:solidFill>
          </c:spPr>
          <c:invertIfNegative val="0"/>
          <c:cat>
            <c:strRef>
              <c:f>Graphisch!$L$95:$M$95</c:f>
              <c:strCache>
                <c:ptCount val="2"/>
                <c:pt idx="0">
                  <c:v>Verluste</c:v>
                </c:pt>
                <c:pt idx="1">
                  <c:v>Gewinne</c:v>
                </c:pt>
              </c:strCache>
            </c:strRef>
          </c:cat>
          <c:val>
            <c:numRef>
              <c:f>Graphisch!$L$98:$M$98</c:f>
              <c:numCache>
                <c:formatCode>0.0;\-0.0;0;</c:formatCode>
                <c:ptCount val="2"/>
                <c:pt idx="0">
                  <c:v>11.156573940987156</c:v>
                </c:pt>
                <c:pt idx="1">
                  <c:v>16.253447313722088</c:v>
                </c:pt>
              </c:numCache>
            </c:numRef>
          </c:val>
          <c:extLst>
            <c:ext xmlns:c16="http://schemas.microsoft.com/office/drawing/2014/chart" uri="{C3380CC4-5D6E-409C-BE32-E72D297353CC}">
              <c16:uniqueId val="{0000000A-913A-4926-96D9-C52B3F74C141}"/>
            </c:ext>
          </c:extLst>
        </c:ser>
        <c:ser>
          <c:idx val="1"/>
          <c:order val="11"/>
          <c:tx>
            <c:strRef>
              <c:f>Graphisch!$A$97</c:f>
              <c:strCache>
                <c:ptCount val="1"/>
                <c:pt idx="0">
                  <c:v>Außenwände</c:v>
                </c:pt>
              </c:strCache>
            </c:strRef>
          </c:tx>
          <c:spPr>
            <a:solidFill>
              <a:schemeClr val="accent1"/>
            </a:solidFill>
          </c:spPr>
          <c:invertIfNegative val="0"/>
          <c:cat>
            <c:strRef>
              <c:f>Graphisch!$L$95:$M$95</c:f>
              <c:strCache>
                <c:ptCount val="2"/>
                <c:pt idx="0">
                  <c:v>Verluste</c:v>
                </c:pt>
                <c:pt idx="1">
                  <c:v>Gewinne</c:v>
                </c:pt>
              </c:strCache>
            </c:strRef>
          </c:cat>
          <c:val>
            <c:numRef>
              <c:f>Graphisch!$L$97:$M$97</c:f>
              <c:numCache>
                <c:formatCode>0.0;\-0.0;0;</c:formatCode>
                <c:ptCount val="2"/>
                <c:pt idx="0">
                  <c:v>11.365909797573106</c:v>
                </c:pt>
                <c:pt idx="1">
                  <c:v>0.64207230049771991</c:v>
                </c:pt>
              </c:numCache>
            </c:numRef>
          </c:val>
          <c:extLst>
            <c:ext xmlns:c16="http://schemas.microsoft.com/office/drawing/2014/chart" uri="{C3380CC4-5D6E-409C-BE32-E72D297353CC}">
              <c16:uniqueId val="{0000000B-913A-4926-96D9-C52B3F74C141}"/>
            </c:ext>
          </c:extLst>
        </c:ser>
        <c:ser>
          <c:idx val="0"/>
          <c:order val="12"/>
          <c:tx>
            <c:strRef>
              <c:f>Graphisch!$A$96</c:f>
              <c:strCache>
                <c:ptCount val="1"/>
                <c:pt idx="0">
                  <c:v>Heizwärmebedarf</c:v>
                </c:pt>
              </c:strCache>
            </c:strRef>
          </c:tx>
          <c:spPr>
            <a:pattFill prst="lgCheck">
              <a:fgClr>
                <a:schemeClr val="bg1">
                  <a:lumMod val="65000"/>
                </a:schemeClr>
              </a:fgClr>
              <a:bgClr>
                <a:schemeClr val="bg1"/>
              </a:bgClr>
            </a:pattFill>
          </c:spPr>
          <c:invertIfNegative val="0"/>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Graphisch!$L$95:$M$95</c:f>
              <c:strCache>
                <c:ptCount val="2"/>
                <c:pt idx="0">
                  <c:v>Verluste</c:v>
                </c:pt>
                <c:pt idx="1">
                  <c:v>Gewinne</c:v>
                </c:pt>
              </c:strCache>
            </c:strRef>
          </c:cat>
          <c:val>
            <c:numRef>
              <c:f>Graphisch!$L$96:$M$96</c:f>
              <c:numCache>
                <c:formatCode>0.0;\-0.0;0;</c:formatCode>
                <c:ptCount val="2"/>
                <c:pt idx="1">
                  <c:v>37.64436638693374</c:v>
                </c:pt>
              </c:numCache>
            </c:numRef>
          </c:val>
          <c:extLst>
            <c:ext xmlns:c16="http://schemas.microsoft.com/office/drawing/2014/chart" uri="{C3380CC4-5D6E-409C-BE32-E72D297353CC}">
              <c16:uniqueId val="{0000000C-913A-4926-96D9-C52B3F74C141}"/>
            </c:ext>
          </c:extLst>
        </c:ser>
        <c:dLbls>
          <c:showLegendKey val="0"/>
          <c:showVal val="0"/>
          <c:showCatName val="0"/>
          <c:showSerName val="0"/>
          <c:showPercent val="0"/>
          <c:showBubbleSize val="0"/>
        </c:dLbls>
        <c:gapWidth val="55"/>
        <c:overlap val="100"/>
        <c:axId val="-1885530576"/>
        <c:axId val="-1885531120"/>
      </c:barChart>
      <c:catAx>
        <c:axId val="-1885530576"/>
        <c:scaling>
          <c:orientation val="minMax"/>
        </c:scaling>
        <c:delete val="0"/>
        <c:axPos val="b"/>
        <c:numFmt formatCode="General" sourceLinked="0"/>
        <c:majorTickMark val="none"/>
        <c:minorTickMark val="none"/>
        <c:tickLblPos val="nextTo"/>
        <c:crossAx val="-1885531120"/>
        <c:crosses val="autoZero"/>
        <c:auto val="1"/>
        <c:lblAlgn val="ctr"/>
        <c:lblOffset val="100"/>
        <c:noMultiLvlLbl val="0"/>
      </c:catAx>
      <c:valAx>
        <c:axId val="-1885531120"/>
        <c:scaling>
          <c:orientation val="minMax"/>
          <c:min val="0"/>
        </c:scaling>
        <c:delete val="0"/>
        <c:axPos val="l"/>
        <c:majorGridlines/>
        <c:numFmt formatCode="General" sourceLinked="0"/>
        <c:majorTickMark val="none"/>
        <c:minorTickMark val="none"/>
        <c:tickLblPos val="nextTo"/>
        <c:crossAx val="-1885530576"/>
        <c:crosses val="autoZero"/>
        <c:crossBetween val="between"/>
      </c:valAx>
    </c:plotArea>
    <c:legend>
      <c:legendPos val="r"/>
      <c:layout>
        <c:manualLayout>
          <c:xMode val="edge"/>
          <c:yMode val="edge"/>
          <c:x val="0.7069644343674687"/>
          <c:y val="0.15482164343382701"/>
          <c:w val="0.27414536726561689"/>
          <c:h val="0.84517835656617479"/>
        </c:manualLayout>
      </c:layout>
      <c:overlay val="0"/>
      <c:spPr>
        <a:ln>
          <a:noFill/>
        </a:ln>
      </c:spPr>
      <c:txPr>
        <a:bodyPr/>
        <a:lstStyle/>
        <a:p>
          <a:pPr>
            <a:defRPr sz="800"/>
          </a:pPr>
          <a:endParaRPr lang="de-DE"/>
        </a:p>
      </c:txPr>
    </c:legend>
    <c:plotVisOnly val="1"/>
    <c:dispBlanksAs val="gap"/>
    <c:showDLblsOverMax val="0"/>
  </c:chart>
  <c:spPr>
    <a:ln>
      <a:noFill/>
    </a:ln>
  </c:spPr>
  <c:txPr>
    <a:bodyPr/>
    <a:lstStyle/>
    <a:p>
      <a:pPr>
        <a:defRPr sz="9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scatterChart>
        <c:scatterStyle val="lineMarker"/>
        <c:varyColors val="0"/>
        <c:ser>
          <c:idx val="0"/>
          <c:order val="0"/>
          <c:tx>
            <c:strRef>
              <c:f>Graphisch!$B$163</c:f>
              <c:strCache>
                <c:ptCount val="1"/>
                <c:pt idx="0">
                  <c:v>qh = 40 kWh/(m²a)</c:v>
                </c:pt>
              </c:strCache>
            </c:strRef>
          </c:tx>
          <c:spPr>
            <a:ln w="28575" cap="rnd" cmpd="sng" algn="ctr">
              <a:solidFill>
                <a:schemeClr val="accent1">
                  <a:tint val="50000"/>
                  <a:shade val="95000"/>
                  <a:satMod val="105000"/>
                </a:schemeClr>
              </a:solidFill>
              <a:prstDash val="solid"/>
              <a:round/>
            </a:ln>
            <a:effectLst/>
          </c:spPr>
          <c:marker>
            <c:symbol val="none"/>
          </c:marker>
          <c:xVal>
            <c:numRef>
              <c:f>Graphisch!$D$162:$N$162</c:f>
              <c:numCache>
                <c:formatCode>#,##0;\-#,##0;0;</c:formatCode>
                <c:ptCount val="11"/>
                <c:pt idx="0">
                  <c:v>100</c:v>
                </c:pt>
                <c:pt idx="1">
                  <c:v>120</c:v>
                </c:pt>
                <c:pt idx="2">
                  <c:v>150</c:v>
                </c:pt>
                <c:pt idx="3">
                  <c:v>170</c:v>
                </c:pt>
                <c:pt idx="4">
                  <c:v>200</c:v>
                </c:pt>
                <c:pt idx="5">
                  <c:v>250</c:v>
                </c:pt>
                <c:pt idx="6">
                  <c:v>300</c:v>
                </c:pt>
                <c:pt idx="7">
                  <c:v>350</c:v>
                </c:pt>
                <c:pt idx="8">
                  <c:v>400</c:v>
                </c:pt>
                <c:pt idx="9">
                  <c:v>450</c:v>
                </c:pt>
                <c:pt idx="10">
                  <c:v>500</c:v>
                </c:pt>
              </c:numCache>
            </c:numRef>
          </c:xVal>
          <c:yVal>
            <c:numRef>
              <c:f>Graphisch!$D$163:$N$163</c:f>
              <c:numCache>
                <c:formatCode>General</c:formatCode>
                <c:ptCount val="11"/>
                <c:pt idx="0">
                  <c:v>42.695999999999998</c:v>
                </c:pt>
                <c:pt idx="1">
                  <c:v>40.752000000000002</c:v>
                </c:pt>
                <c:pt idx="2">
                  <c:v>37.835999999999999</c:v>
                </c:pt>
                <c:pt idx="3">
                  <c:v>36.849600000000002</c:v>
                </c:pt>
                <c:pt idx="4">
                  <c:v>35.369999999999997</c:v>
                </c:pt>
                <c:pt idx="5">
                  <c:v>34.173000000000002</c:v>
                </c:pt>
                <c:pt idx="6">
                  <c:v>32.975999999999999</c:v>
                </c:pt>
                <c:pt idx="7">
                  <c:v>32.467500000000001</c:v>
                </c:pt>
                <c:pt idx="8">
                  <c:v>31.959</c:v>
                </c:pt>
                <c:pt idx="9">
                  <c:v>31.450500000000002</c:v>
                </c:pt>
                <c:pt idx="10">
                  <c:v>30.942</c:v>
                </c:pt>
              </c:numCache>
            </c:numRef>
          </c:yVal>
          <c:smooth val="0"/>
          <c:extLst>
            <c:ext xmlns:c16="http://schemas.microsoft.com/office/drawing/2014/chart" uri="{C3380CC4-5D6E-409C-BE32-E72D297353CC}">
              <c16:uniqueId val="{00000000-6F69-4FFE-A474-56EA444C1676}"/>
            </c:ext>
          </c:extLst>
        </c:ser>
        <c:ser>
          <c:idx val="1"/>
          <c:order val="1"/>
          <c:tx>
            <c:strRef>
              <c:f>Graphisch!$B$164</c:f>
              <c:strCache>
                <c:ptCount val="1"/>
                <c:pt idx="0">
                  <c:v>qh = 50 kWh/(m²a)</c:v>
                </c:pt>
              </c:strCache>
            </c:strRef>
          </c:tx>
          <c:spPr>
            <a:ln w="28575" cap="rnd" cmpd="sng" algn="ctr">
              <a:solidFill>
                <a:schemeClr val="accent1">
                  <a:tint val="70000"/>
                  <a:shade val="95000"/>
                  <a:satMod val="105000"/>
                </a:schemeClr>
              </a:solidFill>
              <a:prstDash val="solid"/>
              <a:round/>
            </a:ln>
            <a:effectLst/>
          </c:spPr>
          <c:marker>
            <c:symbol val="none"/>
          </c:marker>
          <c:xVal>
            <c:numRef>
              <c:f>Graphisch!$D$162:$N$162</c:f>
              <c:numCache>
                <c:formatCode>#,##0;\-#,##0;0;</c:formatCode>
                <c:ptCount val="11"/>
                <c:pt idx="0">
                  <c:v>100</c:v>
                </c:pt>
                <c:pt idx="1">
                  <c:v>120</c:v>
                </c:pt>
                <c:pt idx="2">
                  <c:v>150</c:v>
                </c:pt>
                <c:pt idx="3">
                  <c:v>170</c:v>
                </c:pt>
                <c:pt idx="4">
                  <c:v>200</c:v>
                </c:pt>
                <c:pt idx="5">
                  <c:v>250</c:v>
                </c:pt>
                <c:pt idx="6">
                  <c:v>300</c:v>
                </c:pt>
                <c:pt idx="7">
                  <c:v>350</c:v>
                </c:pt>
                <c:pt idx="8">
                  <c:v>400</c:v>
                </c:pt>
                <c:pt idx="9">
                  <c:v>450</c:v>
                </c:pt>
                <c:pt idx="10">
                  <c:v>500</c:v>
                </c:pt>
              </c:numCache>
            </c:numRef>
          </c:xVal>
          <c:yVal>
            <c:numRef>
              <c:f>Graphisch!$D$164:$N$164</c:f>
              <c:numCache>
                <c:formatCode>General</c:formatCode>
                <c:ptCount val="11"/>
                <c:pt idx="0">
                  <c:v>48.096000000000004</c:v>
                </c:pt>
                <c:pt idx="1">
                  <c:v>46.152000000000001</c:v>
                </c:pt>
                <c:pt idx="2">
                  <c:v>43.235999999999997</c:v>
                </c:pt>
                <c:pt idx="3">
                  <c:v>42.249600000000001</c:v>
                </c:pt>
                <c:pt idx="4">
                  <c:v>40.770000000000003</c:v>
                </c:pt>
                <c:pt idx="5">
                  <c:v>39.573</c:v>
                </c:pt>
                <c:pt idx="6">
                  <c:v>38.375999999999998</c:v>
                </c:pt>
                <c:pt idx="7">
                  <c:v>37.8675</c:v>
                </c:pt>
                <c:pt idx="8">
                  <c:v>37.359000000000002</c:v>
                </c:pt>
                <c:pt idx="9">
                  <c:v>36.850500000000004</c:v>
                </c:pt>
                <c:pt idx="10">
                  <c:v>36.341999999999999</c:v>
                </c:pt>
              </c:numCache>
            </c:numRef>
          </c:yVal>
          <c:smooth val="0"/>
          <c:extLst>
            <c:ext xmlns:c16="http://schemas.microsoft.com/office/drawing/2014/chart" uri="{C3380CC4-5D6E-409C-BE32-E72D297353CC}">
              <c16:uniqueId val="{00000001-6F69-4FFE-A474-56EA444C1676}"/>
            </c:ext>
          </c:extLst>
        </c:ser>
        <c:ser>
          <c:idx val="2"/>
          <c:order val="2"/>
          <c:tx>
            <c:strRef>
              <c:f>Graphisch!$B$165</c:f>
              <c:strCache>
                <c:ptCount val="1"/>
                <c:pt idx="0">
                  <c:v>qh = 60 kWh/(m²a)</c:v>
                </c:pt>
              </c:strCache>
            </c:strRef>
          </c:tx>
          <c:spPr>
            <a:ln w="28575" cap="rnd" cmpd="sng" algn="ctr">
              <a:solidFill>
                <a:schemeClr val="accent1">
                  <a:tint val="90000"/>
                  <a:shade val="95000"/>
                  <a:satMod val="105000"/>
                </a:schemeClr>
              </a:solidFill>
              <a:prstDash val="solid"/>
              <a:round/>
            </a:ln>
            <a:effectLst/>
          </c:spPr>
          <c:marker>
            <c:symbol val="none"/>
          </c:marker>
          <c:xVal>
            <c:numRef>
              <c:f>Graphisch!$D$162:$N$162</c:f>
              <c:numCache>
                <c:formatCode>#,##0;\-#,##0;0;</c:formatCode>
                <c:ptCount val="11"/>
                <c:pt idx="0">
                  <c:v>100</c:v>
                </c:pt>
                <c:pt idx="1">
                  <c:v>120</c:v>
                </c:pt>
                <c:pt idx="2">
                  <c:v>150</c:v>
                </c:pt>
                <c:pt idx="3">
                  <c:v>170</c:v>
                </c:pt>
                <c:pt idx="4">
                  <c:v>200</c:v>
                </c:pt>
                <c:pt idx="5">
                  <c:v>250</c:v>
                </c:pt>
                <c:pt idx="6">
                  <c:v>300</c:v>
                </c:pt>
                <c:pt idx="7">
                  <c:v>350</c:v>
                </c:pt>
                <c:pt idx="8">
                  <c:v>400</c:v>
                </c:pt>
                <c:pt idx="9">
                  <c:v>450</c:v>
                </c:pt>
                <c:pt idx="10">
                  <c:v>500</c:v>
                </c:pt>
              </c:numCache>
            </c:numRef>
          </c:xVal>
          <c:yVal>
            <c:numRef>
              <c:f>Graphisch!$D$165:$N$165</c:f>
              <c:numCache>
                <c:formatCode>General</c:formatCode>
                <c:ptCount val="11"/>
                <c:pt idx="0">
                  <c:v>53.496000000000002</c:v>
                </c:pt>
                <c:pt idx="1">
                  <c:v>51.552</c:v>
                </c:pt>
                <c:pt idx="2">
                  <c:v>48.636000000000003</c:v>
                </c:pt>
                <c:pt idx="3">
                  <c:v>47.6496</c:v>
                </c:pt>
                <c:pt idx="4">
                  <c:v>46.17</c:v>
                </c:pt>
                <c:pt idx="5">
                  <c:v>44.972999999999999</c:v>
                </c:pt>
                <c:pt idx="6">
                  <c:v>43.775999999999996</c:v>
                </c:pt>
                <c:pt idx="7">
                  <c:v>43.267499999999998</c:v>
                </c:pt>
                <c:pt idx="8">
                  <c:v>42.759</c:v>
                </c:pt>
                <c:pt idx="9">
                  <c:v>42.250500000000002</c:v>
                </c:pt>
                <c:pt idx="10">
                  <c:v>41.741999999999997</c:v>
                </c:pt>
              </c:numCache>
            </c:numRef>
          </c:yVal>
          <c:smooth val="0"/>
          <c:extLst>
            <c:ext xmlns:c16="http://schemas.microsoft.com/office/drawing/2014/chart" uri="{C3380CC4-5D6E-409C-BE32-E72D297353CC}">
              <c16:uniqueId val="{00000002-6F69-4FFE-A474-56EA444C1676}"/>
            </c:ext>
          </c:extLst>
        </c:ser>
        <c:ser>
          <c:idx val="3"/>
          <c:order val="3"/>
          <c:tx>
            <c:strRef>
              <c:f>Graphisch!$B$166</c:f>
              <c:strCache>
                <c:ptCount val="1"/>
                <c:pt idx="0">
                  <c:v>qh = 70 kWh/(m²a)</c:v>
                </c:pt>
              </c:strCache>
            </c:strRef>
          </c:tx>
          <c:spPr>
            <a:ln w="28575" cap="rnd" cmpd="sng" algn="ctr">
              <a:solidFill>
                <a:schemeClr val="accent1">
                  <a:shade val="90000"/>
                  <a:shade val="95000"/>
                  <a:satMod val="105000"/>
                </a:schemeClr>
              </a:solidFill>
              <a:prstDash val="solid"/>
              <a:round/>
            </a:ln>
            <a:effectLst/>
          </c:spPr>
          <c:marker>
            <c:symbol val="none"/>
          </c:marker>
          <c:xVal>
            <c:numRef>
              <c:f>Graphisch!$D$162:$N$162</c:f>
              <c:numCache>
                <c:formatCode>#,##0;\-#,##0;0;</c:formatCode>
                <c:ptCount val="11"/>
                <c:pt idx="0">
                  <c:v>100</c:v>
                </c:pt>
                <c:pt idx="1">
                  <c:v>120</c:v>
                </c:pt>
                <c:pt idx="2">
                  <c:v>150</c:v>
                </c:pt>
                <c:pt idx="3">
                  <c:v>170</c:v>
                </c:pt>
                <c:pt idx="4">
                  <c:v>200</c:v>
                </c:pt>
                <c:pt idx="5">
                  <c:v>250</c:v>
                </c:pt>
                <c:pt idx="6">
                  <c:v>300</c:v>
                </c:pt>
                <c:pt idx="7">
                  <c:v>350</c:v>
                </c:pt>
                <c:pt idx="8">
                  <c:v>400</c:v>
                </c:pt>
                <c:pt idx="9">
                  <c:v>450</c:v>
                </c:pt>
                <c:pt idx="10">
                  <c:v>500</c:v>
                </c:pt>
              </c:numCache>
            </c:numRef>
          </c:xVal>
          <c:yVal>
            <c:numRef>
              <c:f>Graphisch!$D$166:$N$166</c:f>
              <c:numCache>
                <c:formatCode>General</c:formatCode>
                <c:ptCount val="11"/>
                <c:pt idx="0">
                  <c:v>58.896000000000001</c:v>
                </c:pt>
                <c:pt idx="1">
                  <c:v>56.951999999999998</c:v>
                </c:pt>
                <c:pt idx="2">
                  <c:v>54.036000000000001</c:v>
                </c:pt>
                <c:pt idx="3">
                  <c:v>53.049599999999998</c:v>
                </c:pt>
                <c:pt idx="4">
                  <c:v>51.57</c:v>
                </c:pt>
                <c:pt idx="5">
                  <c:v>50.373000000000005</c:v>
                </c:pt>
                <c:pt idx="6">
                  <c:v>49.176000000000002</c:v>
                </c:pt>
                <c:pt idx="7">
                  <c:v>48.667500000000004</c:v>
                </c:pt>
                <c:pt idx="8">
                  <c:v>48.158999999999999</c:v>
                </c:pt>
                <c:pt idx="9">
                  <c:v>47.650500000000001</c:v>
                </c:pt>
                <c:pt idx="10">
                  <c:v>47.142000000000003</c:v>
                </c:pt>
              </c:numCache>
            </c:numRef>
          </c:yVal>
          <c:smooth val="0"/>
          <c:extLst>
            <c:ext xmlns:c16="http://schemas.microsoft.com/office/drawing/2014/chart" uri="{C3380CC4-5D6E-409C-BE32-E72D297353CC}">
              <c16:uniqueId val="{00000003-6F69-4FFE-A474-56EA444C1676}"/>
            </c:ext>
          </c:extLst>
        </c:ser>
        <c:ser>
          <c:idx val="4"/>
          <c:order val="4"/>
          <c:tx>
            <c:strRef>
              <c:f>Graphisch!$B$167</c:f>
              <c:strCache>
                <c:ptCount val="1"/>
                <c:pt idx="0">
                  <c:v>qh = 80 kWh/(m²a)</c:v>
                </c:pt>
              </c:strCache>
            </c:strRef>
          </c:tx>
          <c:spPr>
            <a:ln w="28575" cap="rnd" cmpd="sng" algn="ctr">
              <a:solidFill>
                <a:schemeClr val="accent1">
                  <a:shade val="70000"/>
                  <a:shade val="95000"/>
                  <a:satMod val="105000"/>
                </a:schemeClr>
              </a:solidFill>
              <a:prstDash val="solid"/>
              <a:round/>
            </a:ln>
            <a:effectLst/>
          </c:spPr>
          <c:marker>
            <c:symbol val="none"/>
          </c:marker>
          <c:xVal>
            <c:numRef>
              <c:f>Graphisch!$D$162:$N$162</c:f>
              <c:numCache>
                <c:formatCode>#,##0;\-#,##0;0;</c:formatCode>
                <c:ptCount val="11"/>
                <c:pt idx="0">
                  <c:v>100</c:v>
                </c:pt>
                <c:pt idx="1">
                  <c:v>120</c:v>
                </c:pt>
                <c:pt idx="2">
                  <c:v>150</c:v>
                </c:pt>
                <c:pt idx="3">
                  <c:v>170</c:v>
                </c:pt>
                <c:pt idx="4">
                  <c:v>200</c:v>
                </c:pt>
                <c:pt idx="5">
                  <c:v>250</c:v>
                </c:pt>
                <c:pt idx="6">
                  <c:v>300</c:v>
                </c:pt>
                <c:pt idx="7">
                  <c:v>350</c:v>
                </c:pt>
                <c:pt idx="8">
                  <c:v>400</c:v>
                </c:pt>
                <c:pt idx="9">
                  <c:v>450</c:v>
                </c:pt>
                <c:pt idx="10">
                  <c:v>500</c:v>
                </c:pt>
              </c:numCache>
            </c:numRef>
          </c:xVal>
          <c:yVal>
            <c:numRef>
              <c:f>Graphisch!$D$167:$N$167</c:f>
              <c:numCache>
                <c:formatCode>General</c:formatCode>
                <c:ptCount val="11"/>
                <c:pt idx="0">
                  <c:v>64.296000000000006</c:v>
                </c:pt>
                <c:pt idx="1">
                  <c:v>62.352000000000004</c:v>
                </c:pt>
                <c:pt idx="2">
                  <c:v>59.436</c:v>
                </c:pt>
                <c:pt idx="3">
                  <c:v>58.449600000000004</c:v>
                </c:pt>
                <c:pt idx="4">
                  <c:v>56.970000000000006</c:v>
                </c:pt>
                <c:pt idx="5">
                  <c:v>55.773000000000003</c:v>
                </c:pt>
                <c:pt idx="6">
                  <c:v>54.576000000000001</c:v>
                </c:pt>
                <c:pt idx="7">
                  <c:v>54.067500000000003</c:v>
                </c:pt>
                <c:pt idx="8">
                  <c:v>53.559000000000005</c:v>
                </c:pt>
                <c:pt idx="9">
                  <c:v>53.0505</c:v>
                </c:pt>
                <c:pt idx="10">
                  <c:v>52.542000000000002</c:v>
                </c:pt>
              </c:numCache>
            </c:numRef>
          </c:yVal>
          <c:smooth val="0"/>
          <c:extLst>
            <c:ext xmlns:c16="http://schemas.microsoft.com/office/drawing/2014/chart" uri="{C3380CC4-5D6E-409C-BE32-E72D297353CC}">
              <c16:uniqueId val="{00000004-6F69-4FFE-A474-56EA444C1676}"/>
            </c:ext>
          </c:extLst>
        </c:ser>
        <c:ser>
          <c:idx val="5"/>
          <c:order val="5"/>
          <c:tx>
            <c:strRef>
              <c:f>Graphisch!$B$168</c:f>
              <c:strCache>
                <c:ptCount val="1"/>
                <c:pt idx="0">
                  <c:v>qh = 90 kWh/(m²a)</c:v>
                </c:pt>
              </c:strCache>
            </c:strRef>
          </c:tx>
          <c:spPr>
            <a:ln w="28575" cap="rnd" cmpd="sng" algn="ctr">
              <a:solidFill>
                <a:schemeClr val="accent1">
                  <a:shade val="50000"/>
                  <a:shade val="95000"/>
                  <a:satMod val="105000"/>
                </a:schemeClr>
              </a:solidFill>
              <a:prstDash val="solid"/>
              <a:round/>
            </a:ln>
            <a:effectLst/>
          </c:spPr>
          <c:marker>
            <c:symbol val="none"/>
          </c:marker>
          <c:xVal>
            <c:numRef>
              <c:f>Graphisch!$D$162:$N$162</c:f>
              <c:numCache>
                <c:formatCode>#,##0;\-#,##0;0;</c:formatCode>
                <c:ptCount val="11"/>
                <c:pt idx="0">
                  <c:v>100</c:v>
                </c:pt>
                <c:pt idx="1">
                  <c:v>120</c:v>
                </c:pt>
                <c:pt idx="2">
                  <c:v>150</c:v>
                </c:pt>
                <c:pt idx="3">
                  <c:v>170</c:v>
                </c:pt>
                <c:pt idx="4">
                  <c:v>200</c:v>
                </c:pt>
                <c:pt idx="5">
                  <c:v>250</c:v>
                </c:pt>
                <c:pt idx="6">
                  <c:v>300</c:v>
                </c:pt>
                <c:pt idx="7">
                  <c:v>350</c:v>
                </c:pt>
                <c:pt idx="8">
                  <c:v>400</c:v>
                </c:pt>
                <c:pt idx="9">
                  <c:v>450</c:v>
                </c:pt>
                <c:pt idx="10">
                  <c:v>500</c:v>
                </c:pt>
              </c:numCache>
            </c:numRef>
          </c:xVal>
          <c:yVal>
            <c:numRef>
              <c:f>Graphisch!$D$168:$N$168</c:f>
              <c:numCache>
                <c:formatCode>General</c:formatCode>
                <c:ptCount val="11"/>
                <c:pt idx="0">
                  <c:v>69.695999999999998</c:v>
                </c:pt>
                <c:pt idx="1">
                  <c:v>67.751999999999995</c:v>
                </c:pt>
                <c:pt idx="2">
                  <c:v>64.835999999999999</c:v>
                </c:pt>
                <c:pt idx="3">
                  <c:v>63.849600000000002</c:v>
                </c:pt>
                <c:pt idx="4">
                  <c:v>62.370000000000005</c:v>
                </c:pt>
                <c:pt idx="5">
                  <c:v>61.173000000000002</c:v>
                </c:pt>
                <c:pt idx="6">
                  <c:v>59.975999999999999</c:v>
                </c:pt>
                <c:pt idx="7">
                  <c:v>59.467500000000001</c:v>
                </c:pt>
                <c:pt idx="8">
                  <c:v>58.959000000000003</c:v>
                </c:pt>
                <c:pt idx="9">
                  <c:v>58.450499999999998</c:v>
                </c:pt>
                <c:pt idx="10">
                  <c:v>57.942</c:v>
                </c:pt>
              </c:numCache>
            </c:numRef>
          </c:yVal>
          <c:smooth val="0"/>
          <c:extLst>
            <c:ext xmlns:c16="http://schemas.microsoft.com/office/drawing/2014/chart" uri="{C3380CC4-5D6E-409C-BE32-E72D297353CC}">
              <c16:uniqueId val="{00000005-6F69-4FFE-A474-56EA444C1676}"/>
            </c:ext>
          </c:extLst>
        </c:ser>
        <c:dLbls>
          <c:showLegendKey val="0"/>
          <c:showVal val="0"/>
          <c:showCatName val="0"/>
          <c:showSerName val="0"/>
          <c:showPercent val="0"/>
          <c:showBubbleSize val="0"/>
        </c:dLbls>
        <c:axId val="-1885534384"/>
        <c:axId val="-1885532752"/>
      </c:scatterChart>
      <c:valAx>
        <c:axId val="-1885534384"/>
        <c:scaling>
          <c:orientation val="minMax"/>
          <c:max val="500"/>
          <c:min val="100"/>
        </c:scaling>
        <c:delete val="0"/>
        <c:axPos val="b"/>
        <c:title>
          <c:tx>
            <c:rich>
              <a:bodyPr rot="0" spcFirstLastPara="1" vertOverflow="ellipsis" vert="horz" wrap="square" anchor="ctr" anchorCtr="1"/>
              <a:lstStyle/>
              <a:p>
                <a:pPr>
                  <a:defRPr sz="900" b="1" i="0" u="none" strike="noStrike" kern="1200" baseline="0">
                    <a:solidFill>
                      <a:schemeClr val="tx1"/>
                    </a:solidFill>
                    <a:latin typeface="Arial" pitchFamily="34" charset="0"/>
                    <a:ea typeface="+mn-ea"/>
                    <a:cs typeface="Arial" pitchFamily="34" charset="0"/>
                  </a:defRPr>
                </a:pPr>
                <a:r>
                  <a:rPr lang="de-DE"/>
                  <a:t>beheizte Nutzfläche AN [m²]</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itchFamily="34" charset="0"/>
                  <a:ea typeface="+mn-ea"/>
                  <a:cs typeface="Arial" pitchFamily="34" charset="0"/>
                </a:defRPr>
              </a:pPr>
              <a:endParaRPr lang="de-DE"/>
            </a:p>
          </c:txPr>
        </c:title>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Arial" pitchFamily="34" charset="0"/>
                <a:ea typeface="+mn-ea"/>
                <a:cs typeface="Arial" pitchFamily="34" charset="0"/>
              </a:defRPr>
            </a:pPr>
            <a:endParaRPr lang="de-DE"/>
          </a:p>
        </c:txPr>
        <c:crossAx val="-1885532752"/>
        <c:crosses val="autoZero"/>
        <c:crossBetween val="midCat"/>
      </c:valAx>
      <c:valAx>
        <c:axId val="-188553275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Arial" pitchFamily="34" charset="0"/>
                <a:ea typeface="+mn-ea"/>
                <a:cs typeface="Arial" pitchFamily="34" charset="0"/>
              </a:defRPr>
            </a:pPr>
            <a:endParaRPr lang="de-DE"/>
          </a:p>
        </c:txPr>
        <c:crossAx val="-1885534384"/>
        <c:crosses val="autoZero"/>
        <c:crossBetween val="midCat"/>
      </c:valAx>
      <c:spPr>
        <a:solidFill>
          <a:schemeClr val="bg1"/>
        </a:solidFill>
        <a:ln>
          <a:noFill/>
        </a:ln>
        <a:effectLst/>
      </c:spPr>
    </c:plotArea>
    <c:legend>
      <c:legendPos val="r"/>
      <c:layout>
        <c:manualLayout>
          <c:xMode val="edge"/>
          <c:yMode val="edge"/>
          <c:x val="0.78862880305642391"/>
          <c:y val="4.7461567304087002E-2"/>
          <c:w val="0.20662815077109475"/>
          <c:h val="0.4142734430923408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itchFamily="34" charset="0"/>
              <a:ea typeface="+mn-ea"/>
              <a:cs typeface="Arial" pitchFamily="34" charset="0"/>
            </a:defRPr>
          </a:pPr>
          <a:endParaRPr lang="de-DE"/>
        </a:p>
      </c:txPr>
    </c:legend>
    <c:plotVisOnly val="1"/>
    <c:dispBlanksAs val="gap"/>
    <c:showDLblsOverMax val="0"/>
  </c:chart>
  <c:spPr>
    <a:solidFill>
      <a:schemeClr val="bg1"/>
    </a:solidFill>
    <a:ln w="9525" cap="flat" cmpd="sng" algn="ctr">
      <a:noFill/>
      <a:prstDash val="solid"/>
      <a:round/>
    </a:ln>
    <a:effectLst/>
  </c:spPr>
  <c:txPr>
    <a:bodyPr/>
    <a:lstStyle/>
    <a:p>
      <a:pPr>
        <a:defRPr sz="9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US"/>
              <a:t>Transmissionswärmeverlust HT [W/K]</a:t>
            </a:r>
            <a:r>
              <a:rPr lang="en-US" baseline="0"/>
              <a:t> - Referenz</a:t>
            </a:r>
            <a:endParaRPr lang="en-US"/>
          </a:p>
        </c:rich>
      </c:tx>
      <c:layout>
        <c:manualLayout>
          <c:xMode val="edge"/>
          <c:yMode val="edge"/>
          <c:x val="0.14675373741944625"/>
          <c:y val="4.7824007651841347E-2"/>
        </c:manualLayout>
      </c:layout>
      <c:overlay val="0"/>
    </c:title>
    <c:autoTitleDeleted val="0"/>
    <c:plotArea>
      <c:layout/>
      <c:pieChart>
        <c:varyColors val="1"/>
        <c:ser>
          <c:idx val="0"/>
          <c:order val="0"/>
          <c:tx>
            <c:strRef>
              <c:f>Graphisch!$G$40</c:f>
              <c:strCache>
                <c:ptCount val="1"/>
                <c:pt idx="0">
                  <c:v>Referenz</c:v>
                </c:pt>
              </c:strCache>
            </c:strRef>
          </c:tx>
          <c:dPt>
            <c:idx val="0"/>
            <c:bubble3D val="0"/>
            <c:spPr>
              <a:solidFill>
                <a:schemeClr val="accent1"/>
              </a:solidFill>
            </c:spPr>
            <c:extLst>
              <c:ext xmlns:c16="http://schemas.microsoft.com/office/drawing/2014/chart" uri="{C3380CC4-5D6E-409C-BE32-E72D297353CC}">
                <c16:uniqueId val="{00000001-2544-45EC-8D2D-13102CE85FF8}"/>
              </c:ext>
            </c:extLst>
          </c:dPt>
          <c:dPt>
            <c:idx val="1"/>
            <c:bubble3D val="0"/>
            <c:spPr>
              <a:solidFill>
                <a:srgbClr val="FFFF00"/>
              </a:solidFill>
            </c:spPr>
            <c:extLst>
              <c:ext xmlns:c16="http://schemas.microsoft.com/office/drawing/2014/chart" uri="{C3380CC4-5D6E-409C-BE32-E72D297353CC}">
                <c16:uniqueId val="{00000003-2544-45EC-8D2D-13102CE85FF8}"/>
              </c:ext>
            </c:extLst>
          </c:dPt>
          <c:dPt>
            <c:idx val="2"/>
            <c:bubble3D val="0"/>
            <c:spPr>
              <a:solidFill>
                <a:srgbClr val="FFC000"/>
              </a:solidFill>
            </c:spPr>
            <c:extLst>
              <c:ext xmlns:c16="http://schemas.microsoft.com/office/drawing/2014/chart" uri="{C3380CC4-5D6E-409C-BE32-E72D297353CC}">
                <c16:uniqueId val="{00000005-2544-45EC-8D2D-13102CE85FF8}"/>
              </c:ext>
            </c:extLst>
          </c:dPt>
          <c:dPt>
            <c:idx val="3"/>
            <c:bubble3D val="0"/>
            <c:spPr>
              <a:solidFill>
                <a:schemeClr val="accent3">
                  <a:lumMod val="50000"/>
                </a:schemeClr>
              </a:solidFill>
            </c:spPr>
            <c:extLst>
              <c:ext xmlns:c16="http://schemas.microsoft.com/office/drawing/2014/chart" uri="{C3380CC4-5D6E-409C-BE32-E72D297353CC}">
                <c16:uniqueId val="{00000007-2544-45EC-8D2D-13102CE85FF8}"/>
              </c:ext>
            </c:extLst>
          </c:dPt>
          <c:dPt>
            <c:idx val="4"/>
            <c:bubble3D val="0"/>
            <c:spPr>
              <a:solidFill>
                <a:schemeClr val="accent3">
                  <a:lumMod val="75000"/>
                </a:schemeClr>
              </a:solidFill>
            </c:spPr>
            <c:extLst>
              <c:ext xmlns:c16="http://schemas.microsoft.com/office/drawing/2014/chart" uri="{C3380CC4-5D6E-409C-BE32-E72D297353CC}">
                <c16:uniqueId val="{00000009-2544-45EC-8D2D-13102CE85FF8}"/>
              </c:ext>
            </c:extLst>
          </c:dPt>
          <c:dPt>
            <c:idx val="5"/>
            <c:bubble3D val="0"/>
            <c:spPr>
              <a:solidFill>
                <a:schemeClr val="accent3">
                  <a:lumMod val="60000"/>
                  <a:lumOff val="40000"/>
                </a:schemeClr>
              </a:solidFill>
            </c:spPr>
            <c:extLst>
              <c:ext xmlns:c16="http://schemas.microsoft.com/office/drawing/2014/chart" uri="{C3380CC4-5D6E-409C-BE32-E72D297353CC}">
                <c16:uniqueId val="{0000000B-2544-45EC-8D2D-13102CE85FF8}"/>
              </c:ext>
            </c:extLst>
          </c:dPt>
          <c:dPt>
            <c:idx val="6"/>
            <c:bubble3D val="0"/>
            <c:spPr>
              <a:solidFill>
                <a:schemeClr val="accent3">
                  <a:lumMod val="40000"/>
                  <a:lumOff val="60000"/>
                </a:schemeClr>
              </a:solidFill>
            </c:spPr>
            <c:extLst>
              <c:ext xmlns:c16="http://schemas.microsoft.com/office/drawing/2014/chart" uri="{C3380CC4-5D6E-409C-BE32-E72D297353CC}">
                <c16:uniqueId val="{0000000D-2544-45EC-8D2D-13102CE85FF8}"/>
              </c:ext>
            </c:extLst>
          </c:dPt>
          <c:dPt>
            <c:idx val="7"/>
            <c:bubble3D val="0"/>
            <c:spPr>
              <a:solidFill>
                <a:schemeClr val="accent3">
                  <a:lumMod val="20000"/>
                  <a:lumOff val="80000"/>
                </a:schemeClr>
              </a:solidFill>
            </c:spPr>
            <c:extLst>
              <c:ext xmlns:c16="http://schemas.microsoft.com/office/drawing/2014/chart" uri="{C3380CC4-5D6E-409C-BE32-E72D297353CC}">
                <c16:uniqueId val="{0000000F-2544-45EC-8D2D-13102CE85FF8}"/>
              </c:ext>
            </c:extLst>
          </c:dPt>
          <c:dPt>
            <c:idx val="8"/>
            <c:bubble3D val="0"/>
            <c:spPr>
              <a:solidFill>
                <a:schemeClr val="accent6">
                  <a:lumMod val="50000"/>
                </a:schemeClr>
              </a:solidFill>
            </c:spPr>
            <c:extLst>
              <c:ext xmlns:c16="http://schemas.microsoft.com/office/drawing/2014/chart" uri="{C3380CC4-5D6E-409C-BE32-E72D297353CC}">
                <c16:uniqueId val="{00000011-2544-45EC-8D2D-13102CE85FF8}"/>
              </c:ext>
            </c:extLst>
          </c:dPt>
          <c:dPt>
            <c:idx val="9"/>
            <c:bubble3D val="0"/>
            <c:spPr>
              <a:solidFill>
                <a:schemeClr val="bg1">
                  <a:lumMod val="50000"/>
                </a:schemeClr>
              </a:solidFill>
            </c:spPr>
            <c:extLst>
              <c:ext xmlns:c16="http://schemas.microsoft.com/office/drawing/2014/chart" uri="{C3380CC4-5D6E-409C-BE32-E72D297353CC}">
                <c16:uniqueId val="{00000013-2544-45EC-8D2D-13102CE85FF8}"/>
              </c:ext>
            </c:extLst>
          </c:dPt>
          <c:dLbls>
            <c:spPr>
              <a:noFill/>
              <a:ln>
                <a:noFill/>
              </a:ln>
              <a:effectLst/>
            </c:spPr>
            <c:txPr>
              <a:bodyPr wrap="square" lIns="38100" tIns="19050" rIns="38100" bIns="19050" anchor="ctr">
                <a:spAutoFit/>
              </a:bodyPr>
              <a:lstStyle/>
              <a:p>
                <a:pPr>
                  <a:defRPr>
                    <a:solidFill>
                      <a:schemeClr val="tx1">
                        <a:lumMod val="65000"/>
                        <a:lumOff val="35000"/>
                      </a:schemeClr>
                    </a:solidFill>
                  </a:defRPr>
                </a:pPr>
                <a:endParaRPr lang="de-DE"/>
              </a:p>
            </c:txPr>
            <c:showLegendKey val="0"/>
            <c:showVal val="0"/>
            <c:showCatName val="1"/>
            <c:showSerName val="0"/>
            <c:showPercent val="0"/>
            <c:showBubbleSize val="0"/>
            <c:showLeaderLines val="1"/>
            <c:extLst>
              <c:ext xmlns:c15="http://schemas.microsoft.com/office/drawing/2012/chart" uri="{CE6537A1-D6FC-4f65-9D91-7224C49458BB}"/>
            </c:extLst>
          </c:dLbls>
          <c:cat>
            <c:strRef>
              <c:f>Graphisch!$D$41:$D$50</c:f>
              <c:strCache>
                <c:ptCount val="10"/>
                <c:pt idx="0">
                  <c:v>AW</c:v>
                </c:pt>
                <c:pt idx="1">
                  <c:v>W</c:v>
                </c:pt>
                <c:pt idx="2">
                  <c:v>T</c:v>
                </c:pt>
                <c:pt idx="3">
                  <c:v>D</c:v>
                </c:pt>
                <c:pt idx="4">
                  <c:v>DW</c:v>
                </c:pt>
                <c:pt idx="5">
                  <c:v>DG</c:v>
                </c:pt>
                <c:pt idx="6">
                  <c:v>AbW</c:v>
                </c:pt>
                <c:pt idx="7">
                  <c:v>AB</c:v>
                </c:pt>
                <c:pt idx="8">
                  <c:v>G</c:v>
                </c:pt>
                <c:pt idx="9">
                  <c:v>WB</c:v>
                </c:pt>
              </c:strCache>
            </c:strRef>
          </c:cat>
          <c:val>
            <c:numRef>
              <c:f>Graphisch!$G$41:$G$50</c:f>
              <c:numCache>
                <c:formatCode>0.00;\-0.00;0;</c:formatCode>
                <c:ptCount val="10"/>
                <c:pt idx="0">
                  <c:v>40.12624000000001</c:v>
                </c:pt>
                <c:pt idx="1">
                  <c:v>42.835000000000001</c:v>
                </c:pt>
                <c:pt idx="2">
                  <c:v>6.8580000000000005</c:v>
                </c:pt>
                <c:pt idx="3">
                  <c:v>9.363760000000001</c:v>
                </c:pt>
                <c:pt idx="4">
                  <c:v>0</c:v>
                </c:pt>
                <c:pt idx="5">
                  <c:v>9.3227040000000017</c:v>
                </c:pt>
                <c:pt idx="6">
                  <c:v>0</c:v>
                </c:pt>
                <c:pt idx="7">
                  <c:v>0</c:v>
                </c:pt>
                <c:pt idx="8">
                  <c:v>36.393538749999998</c:v>
                </c:pt>
                <c:pt idx="9">
                  <c:v>23.291730000000001</c:v>
                </c:pt>
              </c:numCache>
            </c:numRef>
          </c:val>
          <c:extLst>
            <c:ext xmlns:c16="http://schemas.microsoft.com/office/drawing/2014/chart" uri="{C3380CC4-5D6E-409C-BE32-E72D297353CC}">
              <c16:uniqueId val="{00000014-2544-45EC-8D2D-13102CE85FF8}"/>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a:solidFill>
                <a:schemeClr val="bg1">
                  <a:lumMod val="50000"/>
                </a:schemeClr>
              </a:solidFill>
            </a:defRPr>
          </a:pPr>
          <a:endParaRPr lang="de-DE"/>
        </a:p>
      </c:txPr>
    </c:legend>
    <c:plotVisOnly val="1"/>
    <c:dispBlanksAs val="zero"/>
    <c:showDLblsOverMax val="0"/>
  </c:chart>
  <c:spPr>
    <a:ln>
      <a:noFill/>
    </a:ln>
  </c:spPr>
  <c:txPr>
    <a:bodyPr/>
    <a:lstStyle/>
    <a:p>
      <a:pPr>
        <a:defRPr sz="900">
          <a:solidFill>
            <a:schemeClr val="bg1">
              <a:lumMod val="65000"/>
            </a:schemeClr>
          </a:solidFill>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US"/>
              <a:t>Transmissionswärmeverlust</a:t>
            </a:r>
            <a:r>
              <a:rPr lang="en-US" baseline="0"/>
              <a:t> H</a:t>
            </a:r>
            <a:r>
              <a:rPr lang="en-US" baseline="-25000"/>
              <a:t>T</a:t>
            </a:r>
            <a:r>
              <a:rPr lang="en-US" baseline="0"/>
              <a:t> [W/K]</a:t>
            </a:r>
          </a:p>
          <a:p>
            <a:pPr>
              <a:defRPr/>
            </a:pPr>
            <a:r>
              <a:rPr lang="en-US" baseline="0"/>
              <a:t>ausschließlich Außenwände</a:t>
            </a:r>
            <a:endParaRPr lang="en-US"/>
          </a:p>
        </c:rich>
      </c:tx>
      <c:overlay val="0"/>
    </c:title>
    <c:autoTitleDeleted val="0"/>
    <c:plotArea>
      <c:layout/>
      <c:pieChart>
        <c:varyColors val="1"/>
        <c:ser>
          <c:idx val="0"/>
          <c:order val="0"/>
          <c:tx>
            <c:strRef>
              <c:f>Graphisch!$L$40</c:f>
              <c:strCache>
                <c:ptCount val="1"/>
                <c:pt idx="0">
                  <c:v>Gebäude</c:v>
                </c:pt>
              </c:strCache>
            </c:strRef>
          </c:tx>
          <c:dPt>
            <c:idx val="0"/>
            <c:bubble3D val="0"/>
            <c:spPr>
              <a:solidFill>
                <a:schemeClr val="accent1">
                  <a:lumMod val="75000"/>
                </a:schemeClr>
              </a:solidFill>
            </c:spPr>
            <c:extLst>
              <c:ext xmlns:c16="http://schemas.microsoft.com/office/drawing/2014/chart" uri="{C3380CC4-5D6E-409C-BE32-E72D297353CC}">
                <c16:uniqueId val="{00000001-FFD4-40BE-9E0E-3A4ABAD4605C}"/>
              </c:ext>
            </c:extLst>
          </c:dPt>
          <c:dPt>
            <c:idx val="1"/>
            <c:bubble3D val="0"/>
            <c:spPr>
              <a:solidFill>
                <a:schemeClr val="tx2">
                  <a:lumMod val="60000"/>
                  <a:lumOff val="40000"/>
                </a:schemeClr>
              </a:solidFill>
            </c:spPr>
            <c:extLst>
              <c:ext xmlns:c16="http://schemas.microsoft.com/office/drawing/2014/chart" uri="{C3380CC4-5D6E-409C-BE32-E72D297353CC}">
                <c16:uniqueId val="{00000003-FFD4-40BE-9E0E-3A4ABAD4605C}"/>
              </c:ext>
            </c:extLst>
          </c:dPt>
          <c:dPt>
            <c:idx val="2"/>
            <c:bubble3D val="0"/>
            <c:spPr>
              <a:solidFill>
                <a:schemeClr val="tx2">
                  <a:lumMod val="40000"/>
                  <a:lumOff val="60000"/>
                </a:schemeClr>
              </a:solidFill>
            </c:spPr>
            <c:extLst>
              <c:ext xmlns:c16="http://schemas.microsoft.com/office/drawing/2014/chart" uri="{C3380CC4-5D6E-409C-BE32-E72D297353CC}">
                <c16:uniqueId val="{00000005-FFD4-40BE-9E0E-3A4ABAD4605C}"/>
              </c:ext>
            </c:extLst>
          </c:dPt>
          <c:dPt>
            <c:idx val="3"/>
            <c:bubble3D val="0"/>
            <c:spPr>
              <a:solidFill>
                <a:schemeClr val="tx2">
                  <a:lumMod val="20000"/>
                  <a:lumOff val="80000"/>
                </a:schemeClr>
              </a:solidFill>
            </c:spPr>
            <c:extLst>
              <c:ext xmlns:c16="http://schemas.microsoft.com/office/drawing/2014/chart" uri="{C3380CC4-5D6E-409C-BE32-E72D297353CC}">
                <c16:uniqueId val="{00000007-FFD4-40BE-9E0E-3A4ABAD4605C}"/>
              </c:ext>
            </c:extLst>
          </c:dPt>
          <c:cat>
            <c:strRef>
              <c:f>Graphisch!$J$41:$J$50</c:f>
              <c:strCache>
                <c:ptCount val="4"/>
                <c:pt idx="0">
                  <c:v>AW 1 - Nord</c:v>
                </c:pt>
                <c:pt idx="1">
                  <c:v>AW 2 - West</c:v>
                </c:pt>
                <c:pt idx="2">
                  <c:v>AW 3 - Süd</c:v>
                </c:pt>
                <c:pt idx="3">
                  <c:v>AW 4 - Ost</c:v>
                </c:pt>
              </c:strCache>
            </c:strRef>
          </c:cat>
          <c:val>
            <c:numRef>
              <c:f>Graphisch!$L$41:$L$50</c:f>
              <c:numCache>
                <c:formatCode>0.00;\-0.00;0;</c:formatCode>
                <c:ptCount val="10"/>
                <c:pt idx="0">
                  <c:v>7.5445936180646775</c:v>
                </c:pt>
                <c:pt idx="1">
                  <c:v>7.786693196998991</c:v>
                </c:pt>
                <c:pt idx="2">
                  <c:v>7.0491791192004847</c:v>
                </c:pt>
                <c:pt idx="3">
                  <c:v>7.8309642798762171</c:v>
                </c:pt>
                <c:pt idx="4">
                  <c:v>0</c:v>
                </c:pt>
                <c:pt idx="5">
                  <c:v>0</c:v>
                </c:pt>
                <c:pt idx="6">
                  <c:v>0</c:v>
                </c:pt>
                <c:pt idx="7">
                  <c:v>0</c:v>
                </c:pt>
                <c:pt idx="8">
                  <c:v>0</c:v>
                </c:pt>
                <c:pt idx="9">
                  <c:v>0</c:v>
                </c:pt>
              </c:numCache>
            </c:numRef>
          </c:val>
          <c:extLst>
            <c:ext xmlns:c16="http://schemas.microsoft.com/office/drawing/2014/chart" uri="{C3380CC4-5D6E-409C-BE32-E72D297353CC}">
              <c16:uniqueId val="{00000008-FFD4-40BE-9E0E-3A4ABAD4605C}"/>
            </c:ext>
          </c:extLst>
        </c:ser>
        <c:dLbls>
          <c:showLegendKey val="0"/>
          <c:showVal val="0"/>
          <c:showCatName val="0"/>
          <c:showSerName val="0"/>
          <c:showPercent val="0"/>
          <c:showBubbleSize val="0"/>
          <c:showLeaderLines val="0"/>
        </c:dLbls>
        <c:firstSliceAng val="0"/>
      </c:pieChart>
    </c:plotArea>
    <c:legend>
      <c:legendPos val="r"/>
      <c:overlay val="0"/>
      <c:txPr>
        <a:bodyPr/>
        <a:lstStyle/>
        <a:p>
          <a:pPr rtl="0">
            <a:defRPr/>
          </a:pPr>
          <a:endParaRPr lang="de-DE"/>
        </a:p>
      </c:txPr>
    </c:legend>
    <c:plotVisOnly val="1"/>
    <c:dispBlanksAs val="zero"/>
    <c:showDLblsOverMax val="0"/>
  </c:chart>
  <c:spPr>
    <a:ln>
      <a:noFill/>
    </a:ln>
  </c:spPr>
  <c:txPr>
    <a:bodyPr/>
    <a:lstStyle/>
    <a:p>
      <a:pPr>
        <a:defRPr sz="9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US"/>
              <a:t>Transmissionswärmeverlust HT [W/K]</a:t>
            </a:r>
          </a:p>
          <a:p>
            <a:pPr>
              <a:defRPr/>
            </a:pPr>
            <a:r>
              <a:rPr lang="en-US"/>
              <a:t>ausschließlich Außenwände - Referenz</a:t>
            </a:r>
          </a:p>
        </c:rich>
      </c:tx>
      <c:overlay val="0"/>
    </c:title>
    <c:autoTitleDeleted val="0"/>
    <c:plotArea>
      <c:layout/>
      <c:pieChart>
        <c:varyColors val="1"/>
        <c:ser>
          <c:idx val="0"/>
          <c:order val="0"/>
          <c:tx>
            <c:strRef>
              <c:f>Graphisch!$N$40</c:f>
              <c:strCache>
                <c:ptCount val="1"/>
                <c:pt idx="0">
                  <c:v>Referenz</c:v>
                </c:pt>
              </c:strCache>
            </c:strRef>
          </c:tx>
          <c:dPt>
            <c:idx val="0"/>
            <c:bubble3D val="0"/>
            <c:spPr>
              <a:solidFill>
                <a:schemeClr val="accent1">
                  <a:lumMod val="75000"/>
                </a:schemeClr>
              </a:solidFill>
            </c:spPr>
            <c:extLst>
              <c:ext xmlns:c16="http://schemas.microsoft.com/office/drawing/2014/chart" uri="{C3380CC4-5D6E-409C-BE32-E72D297353CC}">
                <c16:uniqueId val="{00000001-1FA0-40DC-B831-B9171D27BEF2}"/>
              </c:ext>
            </c:extLst>
          </c:dPt>
          <c:dPt>
            <c:idx val="1"/>
            <c:bubble3D val="0"/>
            <c:spPr>
              <a:solidFill>
                <a:schemeClr val="tx2">
                  <a:lumMod val="60000"/>
                  <a:lumOff val="40000"/>
                </a:schemeClr>
              </a:solidFill>
            </c:spPr>
            <c:extLst>
              <c:ext xmlns:c16="http://schemas.microsoft.com/office/drawing/2014/chart" uri="{C3380CC4-5D6E-409C-BE32-E72D297353CC}">
                <c16:uniqueId val="{00000003-1FA0-40DC-B831-B9171D27BEF2}"/>
              </c:ext>
            </c:extLst>
          </c:dPt>
          <c:dPt>
            <c:idx val="2"/>
            <c:bubble3D val="0"/>
            <c:spPr>
              <a:solidFill>
                <a:schemeClr val="tx2">
                  <a:lumMod val="40000"/>
                  <a:lumOff val="60000"/>
                </a:schemeClr>
              </a:solidFill>
            </c:spPr>
            <c:extLst>
              <c:ext xmlns:c16="http://schemas.microsoft.com/office/drawing/2014/chart" uri="{C3380CC4-5D6E-409C-BE32-E72D297353CC}">
                <c16:uniqueId val="{00000005-1FA0-40DC-B831-B9171D27BEF2}"/>
              </c:ext>
            </c:extLst>
          </c:dPt>
          <c:dPt>
            <c:idx val="3"/>
            <c:bubble3D val="0"/>
            <c:spPr>
              <a:solidFill>
                <a:schemeClr val="tx2">
                  <a:lumMod val="20000"/>
                  <a:lumOff val="80000"/>
                </a:schemeClr>
              </a:solidFill>
            </c:spPr>
            <c:extLst>
              <c:ext xmlns:c16="http://schemas.microsoft.com/office/drawing/2014/chart" uri="{C3380CC4-5D6E-409C-BE32-E72D297353CC}">
                <c16:uniqueId val="{00000007-1FA0-40DC-B831-B9171D27BEF2}"/>
              </c:ext>
            </c:extLst>
          </c:dPt>
          <c:dLbls>
            <c:spPr>
              <a:noFill/>
              <a:ln>
                <a:noFill/>
              </a:ln>
              <a:effectLst/>
            </c:spPr>
            <c:txPr>
              <a:bodyPr wrap="square" lIns="38100" tIns="19050" rIns="38100" bIns="19050" anchor="ctr">
                <a:spAutoFit/>
              </a:bodyPr>
              <a:lstStyle/>
              <a:p>
                <a:pPr>
                  <a:defRPr>
                    <a:solidFill>
                      <a:schemeClr val="tx1">
                        <a:lumMod val="65000"/>
                        <a:lumOff val="35000"/>
                      </a:schemeClr>
                    </a:solidFil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extLst>
          </c:dLbls>
          <c:val>
            <c:numRef>
              <c:f>Graphisch!$N$41:$N$50</c:f>
              <c:numCache>
                <c:formatCode>0.00;\-0.00;0;</c:formatCode>
                <c:ptCount val="10"/>
                <c:pt idx="0">
                  <c:v>10.020584000000001</c:v>
                </c:pt>
                <c:pt idx="1">
                  <c:v>10.342136</c:v>
                </c:pt>
                <c:pt idx="2">
                  <c:v>9.3625840000000036</c:v>
                </c:pt>
                <c:pt idx="3">
                  <c:v>10.400936000000002</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Graphisch!$J$41:$J$50</c15:sqref>
                        </c15:formulaRef>
                      </c:ext>
                    </c:extLst>
                    <c:strCache>
                      <c:ptCount val="4"/>
                      <c:pt idx="0">
                        <c:v>AW 1 - Nord</c:v>
                      </c:pt>
                      <c:pt idx="1">
                        <c:v>AW 2 - West</c:v>
                      </c:pt>
                      <c:pt idx="2">
                        <c:v>AW 3 - Süd</c:v>
                      </c:pt>
                      <c:pt idx="3">
                        <c:v>AW 4 - Ost</c:v>
                      </c:pt>
                    </c:strCache>
                  </c:strRef>
                </c15:cat>
              </c15:filteredCategoryTitle>
            </c:ext>
            <c:ext xmlns:c16="http://schemas.microsoft.com/office/drawing/2014/chart" uri="{C3380CC4-5D6E-409C-BE32-E72D297353CC}">
              <c16:uniqueId val="{00000008-1FA0-40DC-B831-B9171D27BEF2}"/>
            </c:ext>
          </c:extLst>
        </c:ser>
        <c:dLbls>
          <c:showLegendKey val="0"/>
          <c:showVal val="0"/>
          <c:showCatName val="0"/>
          <c:showSerName val="0"/>
          <c:showPercent val="0"/>
          <c:showBubbleSize val="0"/>
          <c:showLeaderLines val="0"/>
        </c:dLbls>
        <c:firstSliceAng val="0"/>
      </c:pieChart>
    </c:plotArea>
    <c:legend>
      <c:legendPos val="r"/>
      <c:overlay val="0"/>
      <c:txPr>
        <a:bodyPr/>
        <a:lstStyle/>
        <a:p>
          <a:pPr rtl="0">
            <a:defRPr>
              <a:solidFill>
                <a:schemeClr val="bg1">
                  <a:lumMod val="50000"/>
                </a:schemeClr>
              </a:solidFill>
            </a:defRPr>
          </a:pPr>
          <a:endParaRPr lang="de-DE"/>
        </a:p>
      </c:txPr>
    </c:legend>
    <c:plotVisOnly val="1"/>
    <c:dispBlanksAs val="zero"/>
    <c:showDLblsOverMax val="0"/>
  </c:chart>
  <c:spPr>
    <a:ln>
      <a:noFill/>
    </a:ln>
  </c:spPr>
  <c:txPr>
    <a:bodyPr/>
    <a:lstStyle/>
    <a:p>
      <a:pPr>
        <a:defRPr sz="900">
          <a:solidFill>
            <a:schemeClr val="bg1">
              <a:lumMod val="65000"/>
            </a:schemeClr>
          </a:solidFill>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bg1">
                    <a:lumMod val="50000"/>
                  </a:schemeClr>
                </a:solidFill>
              </a:defRPr>
            </a:pPr>
            <a:r>
              <a:rPr lang="de-DE">
                <a:solidFill>
                  <a:schemeClr val="bg1">
                    <a:lumMod val="50000"/>
                  </a:schemeClr>
                </a:solidFill>
              </a:rPr>
              <a:t>Bilanzanteile</a:t>
            </a:r>
            <a:r>
              <a:rPr lang="de-DE" baseline="0">
                <a:solidFill>
                  <a:schemeClr val="bg1">
                    <a:lumMod val="50000"/>
                  </a:schemeClr>
                </a:solidFill>
              </a:rPr>
              <a:t> Heizwärmebedarf - Flächenbezug [kWh/(m²a)] - Referenz</a:t>
            </a:r>
            <a:endParaRPr lang="de-DE">
              <a:solidFill>
                <a:schemeClr val="bg1">
                  <a:lumMod val="50000"/>
                </a:schemeClr>
              </a:solidFill>
            </a:endParaRPr>
          </a:p>
        </c:rich>
      </c:tx>
      <c:overlay val="0"/>
    </c:title>
    <c:autoTitleDeleted val="0"/>
    <c:plotArea>
      <c:layout/>
      <c:barChart>
        <c:barDir val="col"/>
        <c:grouping val="stacked"/>
        <c:varyColors val="0"/>
        <c:ser>
          <c:idx val="12"/>
          <c:order val="0"/>
          <c:tx>
            <c:strRef>
              <c:f>Graphisch!$A$108</c:f>
              <c:strCache>
                <c:ptCount val="1"/>
                <c:pt idx="0">
                  <c:v>interne Wärmegewinne</c:v>
                </c:pt>
              </c:strCache>
            </c:strRef>
          </c:tx>
          <c:spPr>
            <a:solidFill>
              <a:schemeClr val="accent2"/>
            </a:solidFill>
          </c:spPr>
          <c:invertIfNegative val="0"/>
          <c:cat>
            <c:strRef>
              <c:f>Graphisch!$L$95:$M$95</c:f>
              <c:strCache>
                <c:ptCount val="2"/>
                <c:pt idx="0">
                  <c:v>Verluste</c:v>
                </c:pt>
                <c:pt idx="1">
                  <c:v>Gewinne</c:v>
                </c:pt>
              </c:strCache>
            </c:strRef>
          </c:cat>
          <c:val>
            <c:numRef>
              <c:f>Graphisch!$N$108:$O$108</c:f>
              <c:numCache>
                <c:formatCode>0.0;\-0.0;0;</c:formatCode>
                <c:ptCount val="2"/>
                <c:pt idx="1">
                  <c:v>29.414561282546366</c:v>
                </c:pt>
              </c:numCache>
            </c:numRef>
          </c:val>
          <c:extLst>
            <c:ext xmlns:c16="http://schemas.microsoft.com/office/drawing/2014/chart" uri="{C3380CC4-5D6E-409C-BE32-E72D297353CC}">
              <c16:uniqueId val="{00000000-4119-4227-B344-695533776156}"/>
            </c:ext>
          </c:extLst>
        </c:ser>
        <c:ser>
          <c:idx val="11"/>
          <c:order val="1"/>
          <c:tx>
            <c:strRef>
              <c:f>Graphisch!$A$107</c:f>
              <c:strCache>
                <c:ptCount val="1"/>
                <c:pt idx="0">
                  <c:v>Lüftung</c:v>
                </c:pt>
              </c:strCache>
            </c:strRef>
          </c:tx>
          <c:spPr>
            <a:solidFill>
              <a:schemeClr val="accent4">
                <a:lumMod val="60000"/>
                <a:lumOff val="40000"/>
              </a:schemeClr>
            </a:solidFill>
          </c:spPr>
          <c:invertIfNegative val="0"/>
          <c:cat>
            <c:strRef>
              <c:f>Graphisch!$L$95:$M$95</c:f>
              <c:strCache>
                <c:ptCount val="2"/>
                <c:pt idx="0">
                  <c:v>Verluste</c:v>
                </c:pt>
                <c:pt idx="1">
                  <c:v>Gewinne</c:v>
                </c:pt>
              </c:strCache>
            </c:strRef>
          </c:cat>
          <c:val>
            <c:numRef>
              <c:f>Graphisch!$N$107:$O$107</c:f>
              <c:numCache>
                <c:formatCode>0.0;\-0.0;0;</c:formatCode>
                <c:ptCount val="2"/>
                <c:pt idx="0">
                  <c:v>35.544523200491916</c:v>
                </c:pt>
              </c:numCache>
            </c:numRef>
          </c:val>
          <c:extLst>
            <c:ext xmlns:c16="http://schemas.microsoft.com/office/drawing/2014/chart" uri="{C3380CC4-5D6E-409C-BE32-E72D297353CC}">
              <c16:uniqueId val="{00000001-4119-4227-B344-695533776156}"/>
            </c:ext>
          </c:extLst>
        </c:ser>
        <c:ser>
          <c:idx val="10"/>
          <c:order val="2"/>
          <c:tx>
            <c:strRef>
              <c:f>Graphisch!$A$106</c:f>
              <c:strCache>
                <c:ptCount val="1"/>
                <c:pt idx="0">
                  <c:v>Wärmebrücken</c:v>
                </c:pt>
              </c:strCache>
            </c:strRef>
          </c:tx>
          <c:spPr>
            <a:solidFill>
              <a:schemeClr val="bg1">
                <a:lumMod val="50000"/>
              </a:schemeClr>
            </a:solidFill>
          </c:spPr>
          <c:invertIfNegative val="0"/>
          <c:cat>
            <c:strRef>
              <c:f>Graphisch!$L$95:$M$95</c:f>
              <c:strCache>
                <c:ptCount val="2"/>
                <c:pt idx="0">
                  <c:v>Verluste</c:v>
                </c:pt>
                <c:pt idx="1">
                  <c:v>Gewinne</c:v>
                </c:pt>
              </c:strCache>
            </c:strRef>
          </c:cat>
          <c:val>
            <c:numRef>
              <c:f>Graphisch!$N$106:$O$106</c:f>
              <c:numCache>
                <c:formatCode>0.0;\-0.0;0;</c:formatCode>
                <c:ptCount val="2"/>
                <c:pt idx="0">
                  <c:v>3.4714544513680914</c:v>
                </c:pt>
              </c:numCache>
            </c:numRef>
          </c:val>
          <c:extLst>
            <c:ext xmlns:c16="http://schemas.microsoft.com/office/drawing/2014/chart" uri="{C3380CC4-5D6E-409C-BE32-E72D297353CC}">
              <c16:uniqueId val="{00000002-4119-4227-B344-695533776156}"/>
            </c:ext>
          </c:extLst>
        </c:ser>
        <c:ser>
          <c:idx val="9"/>
          <c:order val="3"/>
          <c:tx>
            <c:strRef>
              <c:f>Graphisch!$A$105</c:f>
              <c:strCache>
                <c:ptCount val="1"/>
                <c:pt idx="0">
                  <c:v>unterer Abschluss</c:v>
                </c:pt>
              </c:strCache>
            </c:strRef>
          </c:tx>
          <c:spPr>
            <a:solidFill>
              <a:schemeClr val="accent6">
                <a:lumMod val="50000"/>
              </a:schemeClr>
            </a:solidFill>
          </c:spPr>
          <c:invertIfNegative val="0"/>
          <c:cat>
            <c:strRef>
              <c:f>Graphisch!$L$95:$M$95</c:f>
              <c:strCache>
                <c:ptCount val="2"/>
                <c:pt idx="0">
                  <c:v>Verluste</c:v>
                </c:pt>
                <c:pt idx="1">
                  <c:v>Gewinne</c:v>
                </c:pt>
              </c:strCache>
            </c:strRef>
          </c:cat>
          <c:val>
            <c:numRef>
              <c:f>Graphisch!$N$105:$O$105</c:f>
              <c:numCache>
                <c:formatCode>0.0;\-0.0;0;</c:formatCode>
                <c:ptCount val="2"/>
                <c:pt idx="0">
                  <c:v>14.721054611529093</c:v>
                </c:pt>
              </c:numCache>
            </c:numRef>
          </c:val>
          <c:extLst>
            <c:ext xmlns:c16="http://schemas.microsoft.com/office/drawing/2014/chart" uri="{C3380CC4-5D6E-409C-BE32-E72D297353CC}">
              <c16:uniqueId val="{00000003-4119-4227-B344-695533776156}"/>
            </c:ext>
          </c:extLst>
        </c:ser>
        <c:ser>
          <c:idx val="8"/>
          <c:order val="4"/>
          <c:tx>
            <c:strRef>
              <c:f>Graphisch!$A$104</c:f>
              <c:strCache>
                <c:ptCount val="1"/>
                <c:pt idx="0">
                  <c:v>Innenwände</c:v>
                </c:pt>
              </c:strCache>
            </c:strRef>
          </c:tx>
          <c:spPr>
            <a:solidFill>
              <a:schemeClr val="accent3">
                <a:lumMod val="40000"/>
                <a:lumOff val="60000"/>
              </a:schemeClr>
            </a:solidFill>
          </c:spPr>
          <c:invertIfNegative val="0"/>
          <c:cat>
            <c:strRef>
              <c:f>Graphisch!$L$95:$M$95</c:f>
              <c:strCache>
                <c:ptCount val="2"/>
                <c:pt idx="0">
                  <c:v>Verluste</c:v>
                </c:pt>
                <c:pt idx="1">
                  <c:v>Gewinne</c:v>
                </c:pt>
              </c:strCache>
            </c:strRef>
          </c:cat>
          <c:val>
            <c:numRef>
              <c:f>Graphisch!$N$104:$O$104</c:f>
              <c:numCache>
                <c:formatCode>0.0;\-0.0;0;</c:formatCode>
                <c:ptCount val="2"/>
                <c:pt idx="0">
                  <c:v>0</c:v>
                </c:pt>
              </c:numCache>
            </c:numRef>
          </c:val>
          <c:extLst>
            <c:ext xmlns:c16="http://schemas.microsoft.com/office/drawing/2014/chart" uri="{C3380CC4-5D6E-409C-BE32-E72D297353CC}">
              <c16:uniqueId val="{00000004-4119-4227-B344-695533776156}"/>
            </c:ext>
          </c:extLst>
        </c:ser>
        <c:ser>
          <c:idx val="7"/>
          <c:order val="5"/>
          <c:tx>
            <c:strRef>
              <c:f>Graphisch!$A$103</c:f>
              <c:strCache>
                <c:ptCount val="1"/>
                <c:pt idx="0">
                  <c:v>Abseitenwände/-decken</c:v>
                </c:pt>
              </c:strCache>
            </c:strRef>
          </c:tx>
          <c:spPr>
            <a:solidFill>
              <a:schemeClr val="accent3">
                <a:lumMod val="60000"/>
                <a:lumOff val="40000"/>
              </a:schemeClr>
            </a:solidFill>
          </c:spPr>
          <c:invertIfNegative val="0"/>
          <c:cat>
            <c:strRef>
              <c:f>Graphisch!$L$95:$M$95</c:f>
              <c:strCache>
                <c:ptCount val="2"/>
                <c:pt idx="0">
                  <c:v>Verluste</c:v>
                </c:pt>
                <c:pt idx="1">
                  <c:v>Gewinne</c:v>
                </c:pt>
              </c:strCache>
            </c:strRef>
          </c:cat>
          <c:val>
            <c:numRef>
              <c:f>Graphisch!$N$103:$O$103</c:f>
              <c:numCache>
                <c:formatCode>0.0;\-0.0;0;</c:formatCode>
                <c:ptCount val="2"/>
                <c:pt idx="0">
                  <c:v>0</c:v>
                </c:pt>
              </c:numCache>
            </c:numRef>
          </c:val>
          <c:extLst>
            <c:ext xmlns:c16="http://schemas.microsoft.com/office/drawing/2014/chart" uri="{C3380CC4-5D6E-409C-BE32-E72D297353CC}">
              <c16:uniqueId val="{00000005-4119-4227-B344-695533776156}"/>
            </c:ext>
          </c:extLst>
        </c:ser>
        <c:ser>
          <c:idx val="6"/>
          <c:order val="6"/>
          <c:tx>
            <c:strRef>
              <c:f>Graphisch!$A$102</c:f>
              <c:strCache>
                <c:ptCount val="1"/>
                <c:pt idx="0">
                  <c:v>oberste Geschossdecke</c:v>
                </c:pt>
              </c:strCache>
            </c:strRef>
          </c:tx>
          <c:spPr>
            <a:solidFill>
              <a:schemeClr val="accent3">
                <a:lumMod val="75000"/>
              </a:schemeClr>
            </a:solidFill>
          </c:spPr>
          <c:invertIfNegative val="0"/>
          <c:cat>
            <c:strRef>
              <c:f>Graphisch!$L$95:$M$95</c:f>
              <c:strCache>
                <c:ptCount val="2"/>
                <c:pt idx="0">
                  <c:v>Verluste</c:v>
                </c:pt>
                <c:pt idx="1">
                  <c:v>Gewinne</c:v>
                </c:pt>
              </c:strCache>
            </c:strRef>
          </c:cat>
          <c:val>
            <c:numRef>
              <c:f>Graphisch!$N$102:$O$102</c:f>
              <c:numCache>
                <c:formatCode>0.0;\-0.0;0;</c:formatCode>
                <c:ptCount val="2"/>
                <c:pt idx="0">
                  <c:v>4.8205786753922499</c:v>
                </c:pt>
              </c:numCache>
            </c:numRef>
          </c:val>
          <c:extLst>
            <c:ext xmlns:c16="http://schemas.microsoft.com/office/drawing/2014/chart" uri="{C3380CC4-5D6E-409C-BE32-E72D297353CC}">
              <c16:uniqueId val="{00000006-4119-4227-B344-695533776156}"/>
            </c:ext>
          </c:extLst>
        </c:ser>
        <c:ser>
          <c:idx val="5"/>
          <c:order val="7"/>
          <c:tx>
            <c:strRef>
              <c:f>Graphisch!$A$101</c:f>
              <c:strCache>
                <c:ptCount val="1"/>
                <c:pt idx="0">
                  <c:v>Dachfenster</c:v>
                </c:pt>
              </c:strCache>
            </c:strRef>
          </c:tx>
          <c:spPr>
            <a:solidFill>
              <a:srgbClr val="FFFF00"/>
            </a:solidFill>
          </c:spPr>
          <c:invertIfNegative val="0"/>
          <c:cat>
            <c:strRef>
              <c:f>Graphisch!$L$95:$M$95</c:f>
              <c:strCache>
                <c:ptCount val="2"/>
                <c:pt idx="0">
                  <c:v>Verluste</c:v>
                </c:pt>
                <c:pt idx="1">
                  <c:v>Gewinne</c:v>
                </c:pt>
              </c:strCache>
            </c:strRef>
          </c:cat>
          <c:val>
            <c:numRef>
              <c:f>Graphisch!$N$101:$O$101</c:f>
              <c:numCache>
                <c:formatCode>0.0;\-0.0;0;</c:formatCode>
                <c:ptCount val="2"/>
                <c:pt idx="0">
                  <c:v>0</c:v>
                </c:pt>
                <c:pt idx="1">
                  <c:v>0</c:v>
                </c:pt>
              </c:numCache>
            </c:numRef>
          </c:val>
          <c:extLst>
            <c:ext xmlns:c16="http://schemas.microsoft.com/office/drawing/2014/chart" uri="{C3380CC4-5D6E-409C-BE32-E72D297353CC}">
              <c16:uniqueId val="{00000007-4119-4227-B344-695533776156}"/>
            </c:ext>
          </c:extLst>
        </c:ser>
        <c:ser>
          <c:idx val="4"/>
          <c:order val="8"/>
          <c:tx>
            <c:strRef>
              <c:f>Graphisch!$A$100</c:f>
              <c:strCache>
                <c:ptCount val="1"/>
                <c:pt idx="0">
                  <c:v>Dach</c:v>
                </c:pt>
              </c:strCache>
            </c:strRef>
          </c:tx>
          <c:spPr>
            <a:solidFill>
              <a:schemeClr val="accent3">
                <a:lumMod val="50000"/>
              </a:schemeClr>
            </a:solidFill>
          </c:spPr>
          <c:invertIfNegative val="0"/>
          <c:cat>
            <c:strRef>
              <c:f>Graphisch!$L$95:$M$95</c:f>
              <c:strCache>
                <c:ptCount val="2"/>
                <c:pt idx="0">
                  <c:v>Verluste</c:v>
                </c:pt>
                <c:pt idx="1">
                  <c:v>Gewinne</c:v>
                </c:pt>
              </c:strCache>
            </c:strRef>
          </c:cat>
          <c:val>
            <c:numRef>
              <c:f>Graphisch!$N$100:$O$100</c:f>
              <c:numCache>
                <c:formatCode>0.0;\-0.0;0;</c:formatCode>
                <c:ptCount val="2"/>
                <c:pt idx="0">
                  <c:v>4.4448262129857374</c:v>
                </c:pt>
                <c:pt idx="1">
                  <c:v>0.11895139203324333</c:v>
                </c:pt>
              </c:numCache>
            </c:numRef>
          </c:val>
          <c:extLst>
            <c:ext xmlns:c16="http://schemas.microsoft.com/office/drawing/2014/chart" uri="{C3380CC4-5D6E-409C-BE32-E72D297353CC}">
              <c16:uniqueId val="{00000008-4119-4227-B344-695533776156}"/>
            </c:ext>
          </c:extLst>
        </c:ser>
        <c:ser>
          <c:idx val="3"/>
          <c:order val="9"/>
          <c:tx>
            <c:strRef>
              <c:f>Graphisch!$A$99</c:f>
              <c:strCache>
                <c:ptCount val="1"/>
                <c:pt idx="0">
                  <c:v>Türen</c:v>
                </c:pt>
              </c:strCache>
            </c:strRef>
          </c:tx>
          <c:spPr>
            <a:solidFill>
              <a:srgbClr val="FFC000"/>
            </a:solidFill>
          </c:spPr>
          <c:invertIfNegative val="0"/>
          <c:cat>
            <c:strRef>
              <c:f>Graphisch!$L$95:$M$95</c:f>
              <c:strCache>
                <c:ptCount val="2"/>
                <c:pt idx="0">
                  <c:v>Verluste</c:v>
                </c:pt>
                <c:pt idx="1">
                  <c:v>Gewinne</c:v>
                </c:pt>
              </c:strCache>
            </c:strRef>
          </c:cat>
          <c:val>
            <c:numRef>
              <c:f>Graphisch!$N$99:$O$99</c:f>
              <c:numCache>
                <c:formatCode>0.0;\-0.0;0;</c:formatCode>
                <c:ptCount val="2"/>
                <c:pt idx="0">
                  <c:v>3.6504732776523761</c:v>
                </c:pt>
                <c:pt idx="1">
                  <c:v>-1.0025759883554039E-2</c:v>
                </c:pt>
              </c:numCache>
            </c:numRef>
          </c:val>
          <c:extLst>
            <c:ext xmlns:c16="http://schemas.microsoft.com/office/drawing/2014/chart" uri="{C3380CC4-5D6E-409C-BE32-E72D297353CC}">
              <c16:uniqueId val="{00000009-4119-4227-B344-695533776156}"/>
            </c:ext>
          </c:extLst>
        </c:ser>
        <c:ser>
          <c:idx val="2"/>
          <c:order val="10"/>
          <c:tx>
            <c:strRef>
              <c:f>Graphisch!$A$98</c:f>
              <c:strCache>
                <c:ptCount val="1"/>
                <c:pt idx="0">
                  <c:v>Fenster</c:v>
                </c:pt>
              </c:strCache>
            </c:strRef>
          </c:tx>
          <c:spPr>
            <a:solidFill>
              <a:srgbClr val="FFFF00"/>
            </a:solidFill>
          </c:spPr>
          <c:invertIfNegative val="0"/>
          <c:cat>
            <c:strRef>
              <c:f>Graphisch!$L$95:$M$95</c:f>
              <c:strCache>
                <c:ptCount val="2"/>
                <c:pt idx="0">
                  <c:v>Verluste</c:v>
                </c:pt>
                <c:pt idx="1">
                  <c:v>Gewinne</c:v>
                </c:pt>
              </c:strCache>
            </c:strRef>
          </c:cat>
          <c:val>
            <c:numRef>
              <c:f>Graphisch!$N$98:$O$98</c:f>
              <c:numCache>
                <c:formatCode>0.0;\-0.0;0;</c:formatCode>
                <c:ptCount val="2"/>
                <c:pt idx="0">
                  <c:v>15.785183005071621</c:v>
                </c:pt>
                <c:pt idx="1">
                  <c:v>19.080239362525731</c:v>
                </c:pt>
              </c:numCache>
            </c:numRef>
          </c:val>
          <c:extLst>
            <c:ext xmlns:c16="http://schemas.microsoft.com/office/drawing/2014/chart" uri="{C3380CC4-5D6E-409C-BE32-E72D297353CC}">
              <c16:uniqueId val="{0000000A-4119-4227-B344-695533776156}"/>
            </c:ext>
          </c:extLst>
        </c:ser>
        <c:ser>
          <c:idx val="1"/>
          <c:order val="11"/>
          <c:tx>
            <c:strRef>
              <c:f>Graphisch!$A$97</c:f>
              <c:strCache>
                <c:ptCount val="1"/>
                <c:pt idx="0">
                  <c:v>Außenwände</c:v>
                </c:pt>
              </c:strCache>
            </c:strRef>
          </c:tx>
          <c:spPr>
            <a:solidFill>
              <a:schemeClr val="accent1"/>
            </a:solidFill>
          </c:spPr>
          <c:invertIfNegative val="0"/>
          <c:cat>
            <c:strRef>
              <c:f>Graphisch!$L$95:$M$95</c:f>
              <c:strCache>
                <c:ptCount val="2"/>
                <c:pt idx="0">
                  <c:v>Verluste</c:v>
                </c:pt>
                <c:pt idx="1">
                  <c:v>Gewinne</c:v>
                </c:pt>
              </c:strCache>
            </c:strRef>
          </c:cat>
          <c:val>
            <c:numRef>
              <c:f>Graphisch!$N$97:$O$97</c:f>
              <c:numCache>
                <c:formatCode>0.0;\-0.0;0;</c:formatCode>
                <c:ptCount val="2"/>
                <c:pt idx="0">
                  <c:v>16.081367552694516</c:v>
                </c:pt>
                <c:pt idx="1">
                  <c:v>0.85278806877090174</c:v>
                </c:pt>
              </c:numCache>
            </c:numRef>
          </c:val>
          <c:extLst>
            <c:ext xmlns:c16="http://schemas.microsoft.com/office/drawing/2014/chart" uri="{C3380CC4-5D6E-409C-BE32-E72D297353CC}">
              <c16:uniqueId val="{0000000B-4119-4227-B344-695533776156}"/>
            </c:ext>
          </c:extLst>
        </c:ser>
        <c:ser>
          <c:idx val="0"/>
          <c:order val="12"/>
          <c:tx>
            <c:strRef>
              <c:f>Graphisch!$A$96</c:f>
              <c:strCache>
                <c:ptCount val="1"/>
                <c:pt idx="0">
                  <c:v>Heizwärmebedarf</c:v>
                </c:pt>
              </c:strCache>
            </c:strRef>
          </c:tx>
          <c:spPr>
            <a:pattFill prst="lgCheck">
              <a:fgClr>
                <a:schemeClr val="bg1">
                  <a:lumMod val="65000"/>
                </a:schemeClr>
              </a:fgClr>
              <a:bgClr>
                <a:schemeClr val="bg1"/>
              </a:bgClr>
            </a:pattFill>
          </c:spPr>
          <c:invertIfNegative val="0"/>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Graphisch!$L$95:$M$95</c:f>
              <c:strCache>
                <c:ptCount val="2"/>
                <c:pt idx="0">
                  <c:v>Verluste</c:v>
                </c:pt>
                <c:pt idx="1">
                  <c:v>Gewinne</c:v>
                </c:pt>
              </c:strCache>
            </c:strRef>
          </c:cat>
          <c:val>
            <c:numRef>
              <c:f>Graphisch!$N$96:$O$96</c:f>
              <c:numCache>
                <c:formatCode>0.0;\-0.0;0;</c:formatCode>
                <c:ptCount val="2"/>
                <c:pt idx="1">
                  <c:v>49.062946641192916</c:v>
                </c:pt>
              </c:numCache>
            </c:numRef>
          </c:val>
          <c:extLst>
            <c:ext xmlns:c16="http://schemas.microsoft.com/office/drawing/2014/chart" uri="{C3380CC4-5D6E-409C-BE32-E72D297353CC}">
              <c16:uniqueId val="{0000000C-4119-4227-B344-695533776156}"/>
            </c:ext>
          </c:extLst>
        </c:ser>
        <c:dLbls>
          <c:showLegendKey val="0"/>
          <c:showVal val="0"/>
          <c:showCatName val="0"/>
          <c:showSerName val="0"/>
          <c:showPercent val="0"/>
          <c:showBubbleSize val="0"/>
        </c:dLbls>
        <c:gapWidth val="55"/>
        <c:overlap val="100"/>
        <c:axId val="-1885530032"/>
        <c:axId val="-1885532208"/>
      </c:barChart>
      <c:catAx>
        <c:axId val="-1885530032"/>
        <c:scaling>
          <c:orientation val="minMax"/>
        </c:scaling>
        <c:delete val="0"/>
        <c:axPos val="b"/>
        <c:numFmt formatCode="General" sourceLinked="0"/>
        <c:majorTickMark val="none"/>
        <c:minorTickMark val="none"/>
        <c:tickLblPos val="nextTo"/>
        <c:txPr>
          <a:bodyPr/>
          <a:lstStyle/>
          <a:p>
            <a:pPr>
              <a:defRPr>
                <a:solidFill>
                  <a:schemeClr val="bg1">
                    <a:lumMod val="50000"/>
                  </a:schemeClr>
                </a:solidFill>
              </a:defRPr>
            </a:pPr>
            <a:endParaRPr lang="de-DE"/>
          </a:p>
        </c:txPr>
        <c:crossAx val="-1885532208"/>
        <c:crosses val="autoZero"/>
        <c:auto val="1"/>
        <c:lblAlgn val="ctr"/>
        <c:lblOffset val="100"/>
        <c:noMultiLvlLbl val="0"/>
      </c:catAx>
      <c:valAx>
        <c:axId val="-1885532208"/>
        <c:scaling>
          <c:orientation val="minMax"/>
          <c:min val="0"/>
        </c:scaling>
        <c:delete val="0"/>
        <c:axPos val="l"/>
        <c:majorGridlines/>
        <c:numFmt formatCode="General" sourceLinked="0"/>
        <c:majorTickMark val="none"/>
        <c:minorTickMark val="none"/>
        <c:tickLblPos val="nextTo"/>
        <c:txPr>
          <a:bodyPr/>
          <a:lstStyle/>
          <a:p>
            <a:pPr>
              <a:defRPr>
                <a:solidFill>
                  <a:schemeClr val="bg1">
                    <a:lumMod val="50000"/>
                  </a:schemeClr>
                </a:solidFill>
              </a:defRPr>
            </a:pPr>
            <a:endParaRPr lang="de-DE"/>
          </a:p>
        </c:txPr>
        <c:crossAx val="-1885530032"/>
        <c:crosses val="autoZero"/>
        <c:crossBetween val="between"/>
      </c:valAx>
    </c:plotArea>
    <c:legend>
      <c:legendPos val="r"/>
      <c:layout>
        <c:manualLayout>
          <c:xMode val="edge"/>
          <c:yMode val="edge"/>
          <c:x val="0.7069644343674687"/>
          <c:y val="0.15482164343382701"/>
          <c:w val="0.27414536726561689"/>
          <c:h val="0.84517835656617479"/>
        </c:manualLayout>
      </c:layout>
      <c:overlay val="0"/>
      <c:spPr>
        <a:ln>
          <a:noFill/>
        </a:ln>
      </c:spPr>
      <c:txPr>
        <a:bodyPr/>
        <a:lstStyle/>
        <a:p>
          <a:pPr>
            <a:defRPr sz="800">
              <a:solidFill>
                <a:schemeClr val="bg1">
                  <a:lumMod val="50000"/>
                </a:schemeClr>
              </a:solidFill>
            </a:defRPr>
          </a:pPr>
          <a:endParaRPr lang="de-DE"/>
        </a:p>
      </c:txPr>
    </c:legend>
    <c:plotVisOnly val="1"/>
    <c:dispBlanksAs val="gap"/>
    <c:showDLblsOverMax val="0"/>
  </c:chart>
  <c:spPr>
    <a:ln>
      <a:noFill/>
    </a:ln>
  </c:spPr>
  <c:txPr>
    <a:bodyPr/>
    <a:lstStyle/>
    <a:p>
      <a:pPr>
        <a:defRPr sz="9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53937900619595"/>
          <c:y val="4.3825721784776887E-2"/>
          <c:w val="0.64694770296570192"/>
          <c:h val="0.74502099737532901"/>
        </c:manualLayout>
      </c:layout>
      <c:scatterChart>
        <c:scatterStyle val="lineMarker"/>
        <c:varyColors val="0"/>
        <c:ser>
          <c:idx val="1"/>
          <c:order val="0"/>
          <c:tx>
            <c:strRef>
              <c:f>Tabellen!$B$943</c:f>
              <c:strCache>
                <c:ptCount val="1"/>
                <c:pt idx="0">
                  <c:v>Aufwärts</c:v>
                </c:pt>
              </c:strCache>
            </c:strRef>
          </c:tx>
          <c:xVal>
            <c:numRef>
              <c:f>Tabellen!$A$945:$A$953</c:f>
            </c:numRef>
          </c:xVal>
          <c:yVal>
            <c:numRef>
              <c:f>Tabellen!$B$945:$B$953</c:f>
            </c:numRef>
          </c:yVal>
          <c:smooth val="0"/>
          <c:extLst>
            <c:ext xmlns:c16="http://schemas.microsoft.com/office/drawing/2014/chart" uri="{C3380CC4-5D6E-409C-BE32-E72D297353CC}">
              <c16:uniqueId val="{00000000-DED5-4F3F-9C5C-40B04A3A2537}"/>
            </c:ext>
          </c:extLst>
        </c:ser>
        <c:ser>
          <c:idx val="2"/>
          <c:order val="1"/>
          <c:tx>
            <c:strRef>
              <c:f>Tabellen!$C$943</c:f>
              <c:strCache>
                <c:ptCount val="1"/>
                <c:pt idx="0">
                  <c:v>Horizontal</c:v>
                </c:pt>
              </c:strCache>
            </c:strRef>
          </c:tx>
          <c:xVal>
            <c:numRef>
              <c:f>Tabellen!$A$945:$A$953</c:f>
            </c:numRef>
          </c:xVal>
          <c:yVal>
            <c:numRef>
              <c:f>Tabellen!$C$945:$C$953</c:f>
            </c:numRef>
          </c:yVal>
          <c:smooth val="0"/>
          <c:extLst>
            <c:ext xmlns:c16="http://schemas.microsoft.com/office/drawing/2014/chart" uri="{C3380CC4-5D6E-409C-BE32-E72D297353CC}">
              <c16:uniqueId val="{00000001-DED5-4F3F-9C5C-40B04A3A2537}"/>
            </c:ext>
          </c:extLst>
        </c:ser>
        <c:ser>
          <c:idx val="3"/>
          <c:order val="2"/>
          <c:tx>
            <c:strRef>
              <c:f>Tabellen!$D$943</c:f>
              <c:strCache>
                <c:ptCount val="1"/>
                <c:pt idx="0">
                  <c:v>Abwärts</c:v>
                </c:pt>
              </c:strCache>
            </c:strRef>
          </c:tx>
          <c:xVal>
            <c:numRef>
              <c:f>Tabellen!$A$945:$A$953</c:f>
            </c:numRef>
          </c:xVal>
          <c:yVal>
            <c:numRef>
              <c:f>Tabellen!$D$945:$D$953</c:f>
            </c:numRef>
          </c:yVal>
          <c:smooth val="0"/>
          <c:extLst>
            <c:ext xmlns:c16="http://schemas.microsoft.com/office/drawing/2014/chart" uri="{C3380CC4-5D6E-409C-BE32-E72D297353CC}">
              <c16:uniqueId val="{00000002-DED5-4F3F-9C5C-40B04A3A2537}"/>
            </c:ext>
          </c:extLst>
        </c:ser>
        <c:dLbls>
          <c:showLegendKey val="0"/>
          <c:showVal val="0"/>
          <c:showCatName val="0"/>
          <c:showSerName val="0"/>
          <c:showPercent val="0"/>
          <c:showBubbleSize val="0"/>
        </c:dLbls>
        <c:axId val="-1885536560"/>
        <c:axId val="-1885531664"/>
      </c:scatterChart>
      <c:valAx>
        <c:axId val="-1885536560"/>
        <c:scaling>
          <c:orientation val="minMax"/>
          <c:max val="300"/>
        </c:scaling>
        <c:delete val="0"/>
        <c:axPos val="b"/>
        <c:title>
          <c:tx>
            <c:rich>
              <a:bodyPr/>
              <a:lstStyle/>
              <a:p>
                <a:pPr>
                  <a:defRPr/>
                </a:pPr>
                <a:r>
                  <a:rPr lang="en-US"/>
                  <a:t>Dicke der Luftschicht [mm}</a:t>
                </a:r>
              </a:p>
            </c:rich>
          </c:tx>
          <c:layout>
            <c:manualLayout>
              <c:xMode val="edge"/>
              <c:yMode val="edge"/>
              <c:x val="0.33263109968396831"/>
              <c:y val="0.90346006749156349"/>
            </c:manualLayout>
          </c:layout>
          <c:overlay val="0"/>
        </c:title>
        <c:numFmt formatCode="General" sourceLinked="1"/>
        <c:majorTickMark val="out"/>
        <c:minorTickMark val="none"/>
        <c:tickLblPos val="nextTo"/>
        <c:crossAx val="-1885531664"/>
        <c:crosses val="autoZero"/>
        <c:crossBetween val="midCat"/>
      </c:valAx>
      <c:valAx>
        <c:axId val="-1885531664"/>
        <c:scaling>
          <c:orientation val="minMax"/>
        </c:scaling>
        <c:delete val="0"/>
        <c:axPos val="l"/>
        <c:majorGridlines/>
        <c:title>
          <c:tx>
            <c:rich>
              <a:bodyPr rot="-5400000" vert="horz"/>
              <a:lstStyle/>
              <a:p>
                <a:pPr>
                  <a:defRPr/>
                </a:pPr>
                <a:r>
                  <a:rPr lang="de-DE"/>
                  <a:t>Wärmedurchlasswiderstand</a:t>
                </a:r>
                <a:r>
                  <a:rPr lang="de-DE" baseline="0"/>
                  <a:t> [m²K/W]</a:t>
                </a:r>
                <a:endParaRPr lang="de-DE"/>
              </a:p>
            </c:rich>
          </c:tx>
          <c:layout>
            <c:manualLayout>
              <c:xMode val="edge"/>
              <c:yMode val="edge"/>
              <c:x val="0"/>
              <c:y val="7.0492188476440482E-2"/>
            </c:manualLayout>
          </c:layout>
          <c:overlay val="0"/>
        </c:title>
        <c:numFmt formatCode="General" sourceLinked="1"/>
        <c:majorTickMark val="out"/>
        <c:minorTickMark val="none"/>
        <c:tickLblPos val="nextTo"/>
        <c:crossAx val="-1885536560"/>
        <c:crosses val="autoZero"/>
        <c:crossBetween val="midCat"/>
      </c:valAx>
    </c:plotArea>
    <c:legend>
      <c:legendPos val="r"/>
      <c:overlay val="0"/>
    </c:legend>
    <c:plotVisOnly val="1"/>
    <c:dispBlanksAs val="gap"/>
    <c:showDLblsOverMax val="0"/>
  </c:chart>
  <c:spPr>
    <a:solidFill>
      <a:schemeClr val="bg1">
        <a:lumMod val="95000"/>
      </a:schemeClr>
    </a:solidFill>
    <a:ln>
      <a:noFill/>
    </a:ln>
  </c:spPr>
  <c:printSettings>
    <c:headerFooter/>
    <c:pageMargins b="0.78740157499999996" l="0.70000000000000062" r="0.70000000000000062" t="0.78740157499999996" header="0.30000000000000032" footer="0.30000000000000032"/>
    <c:pageSetup/>
  </c:printSettings>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104">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4">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List" dx="26" fmlaLink="$O$4" fmlaRange="listTechnikMusteranlageLang" sel="8" val="0"/>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List" dx="26" fmlaLink="$O$4" fmlaRange="$S$185:$S$209" sel="8" val="0"/>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List" dx="26" fmlaLink="$Z$132" fmlaRange="$Z$126:$Z$130" sel="2" val="0"/>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GBox"/>
</file>

<file path=xl/ctrlProps/ctrlProp156.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List" dx="26" fmlaLink="$AA$11" fmlaRange="$AA$9:$AA$10" sel="1" val="0"/>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9.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7620</xdr:colOff>
          <xdr:row>0</xdr:row>
          <xdr:rowOff>0</xdr:rowOff>
        </xdr:from>
        <xdr:to>
          <xdr:col>8</xdr:col>
          <xdr:colOff>251460</xdr:colOff>
          <xdr:row>0</xdr:row>
          <xdr:rowOff>236220</xdr:rowOff>
        </xdr:to>
        <xdr:sp macro="" textlink="">
          <xdr:nvSpPr>
            <xdr:cNvPr id="147457" name="Button 1" hidden="1">
              <a:extLst>
                <a:ext uri="{63B3BB69-23CF-44E3-9099-C40C66FF867C}">
                  <a14:compatExt spid="_x0000_s147457"/>
                </a:ext>
                <a:ext uri="{FF2B5EF4-FFF2-40B4-BE49-F238E27FC236}">
                  <a16:creationId xmlns:a16="http://schemas.microsoft.com/office/drawing/2014/main" id="{00000000-0008-0000-0000-000001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xdr:row>
          <xdr:rowOff>7620</xdr:rowOff>
        </xdr:from>
        <xdr:to>
          <xdr:col>8</xdr:col>
          <xdr:colOff>251460</xdr:colOff>
          <xdr:row>3</xdr:row>
          <xdr:rowOff>251460</xdr:rowOff>
        </xdr:to>
        <xdr:sp macro="" textlink="">
          <xdr:nvSpPr>
            <xdr:cNvPr id="147458" name="Button 2" hidden="1">
              <a:extLst>
                <a:ext uri="{63B3BB69-23CF-44E3-9099-C40C66FF867C}">
                  <a14:compatExt spid="_x0000_s147458"/>
                </a:ext>
                <a:ext uri="{FF2B5EF4-FFF2-40B4-BE49-F238E27FC236}">
                  <a16:creationId xmlns:a16="http://schemas.microsoft.com/office/drawing/2014/main" id="{00000000-0008-0000-0000-000002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26</xdr:row>
          <xdr:rowOff>7620</xdr:rowOff>
        </xdr:from>
        <xdr:to>
          <xdr:col>8</xdr:col>
          <xdr:colOff>251460</xdr:colOff>
          <xdr:row>27</xdr:row>
          <xdr:rowOff>0</xdr:rowOff>
        </xdr:to>
        <xdr:sp macro="" textlink="">
          <xdr:nvSpPr>
            <xdr:cNvPr id="147462" name="Button 6" hidden="1">
              <a:extLst>
                <a:ext uri="{63B3BB69-23CF-44E3-9099-C40C66FF867C}">
                  <a14:compatExt spid="_x0000_s147462"/>
                </a:ext>
                <a:ext uri="{FF2B5EF4-FFF2-40B4-BE49-F238E27FC236}">
                  <a16:creationId xmlns:a16="http://schemas.microsoft.com/office/drawing/2014/main" id="{00000000-0008-0000-0000-000006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441960</xdr:colOff>
          <xdr:row>0</xdr:row>
          <xdr:rowOff>0</xdr:rowOff>
        </xdr:from>
        <xdr:to>
          <xdr:col>14</xdr:col>
          <xdr:colOff>708660</xdr:colOff>
          <xdr:row>1</xdr:row>
          <xdr:rowOff>0</xdr:rowOff>
        </xdr:to>
        <xdr:sp macro="" textlink="">
          <xdr:nvSpPr>
            <xdr:cNvPr id="147471" name="stLilaAnAus" hidden="1">
              <a:extLst>
                <a:ext uri="{63B3BB69-23CF-44E3-9099-C40C66FF867C}">
                  <a14:compatExt spid="_x0000_s147471"/>
                </a:ext>
                <a:ext uri="{FF2B5EF4-FFF2-40B4-BE49-F238E27FC236}">
                  <a16:creationId xmlns:a16="http://schemas.microsoft.com/office/drawing/2014/main" id="{00000000-0008-0000-0000-00000F4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editierbare Zellen farbig an/aus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36</xdr:row>
          <xdr:rowOff>7620</xdr:rowOff>
        </xdr:from>
        <xdr:to>
          <xdr:col>8</xdr:col>
          <xdr:colOff>251460</xdr:colOff>
          <xdr:row>37</xdr:row>
          <xdr:rowOff>0</xdr:rowOff>
        </xdr:to>
        <xdr:sp macro="" textlink="">
          <xdr:nvSpPr>
            <xdr:cNvPr id="147472" name="Button 16" hidden="1">
              <a:extLst>
                <a:ext uri="{63B3BB69-23CF-44E3-9099-C40C66FF867C}">
                  <a14:compatExt spid="_x0000_s147472"/>
                </a:ext>
                <a:ext uri="{FF2B5EF4-FFF2-40B4-BE49-F238E27FC236}">
                  <a16:creationId xmlns:a16="http://schemas.microsoft.com/office/drawing/2014/main" id="{00000000-0008-0000-0000-000010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22860</xdr:colOff>
          <xdr:row>0</xdr:row>
          <xdr:rowOff>0</xdr:rowOff>
        </xdr:from>
        <xdr:to>
          <xdr:col>16</xdr:col>
          <xdr:colOff>480060</xdr:colOff>
          <xdr:row>1</xdr:row>
          <xdr:rowOff>0</xdr:rowOff>
        </xdr:to>
        <xdr:sp macro="" textlink="">
          <xdr:nvSpPr>
            <xdr:cNvPr id="147473" name="Button 17" hidden="1">
              <a:extLst>
                <a:ext uri="{63B3BB69-23CF-44E3-9099-C40C66FF867C}">
                  <a14:compatExt spid="_x0000_s147473"/>
                </a:ext>
                <a:ext uri="{FF2B5EF4-FFF2-40B4-BE49-F238E27FC236}">
                  <a16:creationId xmlns:a16="http://schemas.microsoft.com/office/drawing/2014/main" id="{00000000-0008-0000-0000-0000114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alle Einträge löschen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7620</xdr:colOff>
          <xdr:row>0</xdr:row>
          <xdr:rowOff>0</xdr:rowOff>
        </xdr:from>
        <xdr:to>
          <xdr:col>9</xdr:col>
          <xdr:colOff>251460</xdr:colOff>
          <xdr:row>1</xdr:row>
          <xdr:rowOff>0</xdr:rowOff>
        </xdr:to>
        <xdr:sp macro="" textlink="">
          <xdr:nvSpPr>
            <xdr:cNvPr id="1032" name="Button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5</xdr:row>
          <xdr:rowOff>7620</xdr:rowOff>
        </xdr:from>
        <xdr:to>
          <xdr:col>9</xdr:col>
          <xdr:colOff>251460</xdr:colOff>
          <xdr:row>6</xdr:row>
          <xdr:rowOff>0</xdr:rowOff>
        </xdr:to>
        <xdr:sp macro="" textlink="">
          <xdr:nvSpPr>
            <xdr:cNvPr id="1057" name="Button 33" hidden="1">
              <a:extLst>
                <a:ext uri="{63B3BB69-23CF-44E3-9099-C40C66FF867C}">
                  <a14:compatExt spid="_x0000_s1057"/>
                </a:ext>
                <a:ext uri="{FF2B5EF4-FFF2-40B4-BE49-F238E27FC236}">
                  <a16:creationId xmlns:a16="http://schemas.microsoft.com/office/drawing/2014/main" id="{00000000-0008-0000-0100-000021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13</xdr:row>
          <xdr:rowOff>7620</xdr:rowOff>
        </xdr:from>
        <xdr:to>
          <xdr:col>9</xdr:col>
          <xdr:colOff>251460</xdr:colOff>
          <xdr:row>14</xdr:row>
          <xdr:rowOff>22860</xdr:rowOff>
        </xdr:to>
        <xdr:sp macro="" textlink="">
          <xdr:nvSpPr>
            <xdr:cNvPr id="1059" name="Button 35" hidden="1">
              <a:extLst>
                <a:ext uri="{63B3BB69-23CF-44E3-9099-C40C66FF867C}">
                  <a14:compatExt spid="_x0000_s1059"/>
                </a:ext>
                <a:ext uri="{FF2B5EF4-FFF2-40B4-BE49-F238E27FC236}">
                  <a16:creationId xmlns:a16="http://schemas.microsoft.com/office/drawing/2014/main" id="{00000000-0008-0000-0100-000023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127</xdr:row>
          <xdr:rowOff>7620</xdr:rowOff>
        </xdr:from>
        <xdr:to>
          <xdr:col>9</xdr:col>
          <xdr:colOff>251460</xdr:colOff>
          <xdr:row>128</xdr:row>
          <xdr:rowOff>0</xdr:rowOff>
        </xdr:to>
        <xdr:sp macro="" textlink="">
          <xdr:nvSpPr>
            <xdr:cNvPr id="1062" name="Button 38" hidden="1">
              <a:extLst>
                <a:ext uri="{63B3BB69-23CF-44E3-9099-C40C66FF867C}">
                  <a14:compatExt spid="_x0000_s1062"/>
                </a:ext>
                <a:ext uri="{FF2B5EF4-FFF2-40B4-BE49-F238E27FC236}">
                  <a16:creationId xmlns:a16="http://schemas.microsoft.com/office/drawing/2014/main" id="{00000000-0008-0000-0100-000026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145</xdr:row>
          <xdr:rowOff>7620</xdr:rowOff>
        </xdr:from>
        <xdr:to>
          <xdr:col>9</xdr:col>
          <xdr:colOff>251460</xdr:colOff>
          <xdr:row>146</xdr:row>
          <xdr:rowOff>22860</xdr:rowOff>
        </xdr:to>
        <xdr:sp macro="" textlink="">
          <xdr:nvSpPr>
            <xdr:cNvPr id="1063" name="Button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173</xdr:row>
          <xdr:rowOff>7620</xdr:rowOff>
        </xdr:from>
        <xdr:to>
          <xdr:col>9</xdr:col>
          <xdr:colOff>251460</xdr:colOff>
          <xdr:row>174</xdr:row>
          <xdr:rowOff>0</xdr:rowOff>
        </xdr:to>
        <xdr:sp macro="" textlink="">
          <xdr:nvSpPr>
            <xdr:cNvPr id="1064" name="Button 40" hidden="1">
              <a:extLst>
                <a:ext uri="{63B3BB69-23CF-44E3-9099-C40C66FF867C}">
                  <a14:compatExt spid="_x0000_s1064"/>
                </a:ext>
                <a:ext uri="{FF2B5EF4-FFF2-40B4-BE49-F238E27FC236}">
                  <a16:creationId xmlns:a16="http://schemas.microsoft.com/office/drawing/2014/main" id="{00000000-0008-0000-0100-000028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177</xdr:row>
          <xdr:rowOff>7620</xdr:rowOff>
        </xdr:from>
        <xdr:to>
          <xdr:col>9</xdr:col>
          <xdr:colOff>251460</xdr:colOff>
          <xdr:row>178</xdr:row>
          <xdr:rowOff>22860</xdr:rowOff>
        </xdr:to>
        <xdr:sp macro="" textlink="">
          <xdr:nvSpPr>
            <xdr:cNvPr id="1065" name="Button 41" hidden="1">
              <a:extLst>
                <a:ext uri="{63B3BB69-23CF-44E3-9099-C40C66FF867C}">
                  <a14:compatExt spid="_x0000_s1065"/>
                </a:ext>
                <a:ext uri="{FF2B5EF4-FFF2-40B4-BE49-F238E27FC236}">
                  <a16:creationId xmlns:a16="http://schemas.microsoft.com/office/drawing/2014/main" id="{00000000-0008-0000-0100-000029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188</xdr:row>
          <xdr:rowOff>7620</xdr:rowOff>
        </xdr:from>
        <xdr:to>
          <xdr:col>9</xdr:col>
          <xdr:colOff>251460</xdr:colOff>
          <xdr:row>189</xdr:row>
          <xdr:rowOff>22860</xdr:rowOff>
        </xdr:to>
        <xdr:sp macro="" textlink="">
          <xdr:nvSpPr>
            <xdr:cNvPr id="1067" name="Button 43" hidden="1">
              <a:extLst>
                <a:ext uri="{63B3BB69-23CF-44E3-9099-C40C66FF867C}">
                  <a14:compatExt spid="_x0000_s1067"/>
                </a:ext>
                <a:ext uri="{FF2B5EF4-FFF2-40B4-BE49-F238E27FC236}">
                  <a16:creationId xmlns:a16="http://schemas.microsoft.com/office/drawing/2014/main" id="{00000000-0008-0000-0100-00002B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200</xdr:row>
          <xdr:rowOff>7620</xdr:rowOff>
        </xdr:from>
        <xdr:to>
          <xdr:col>9</xdr:col>
          <xdr:colOff>251460</xdr:colOff>
          <xdr:row>201</xdr:row>
          <xdr:rowOff>22860</xdr:rowOff>
        </xdr:to>
        <xdr:sp macro="" textlink="">
          <xdr:nvSpPr>
            <xdr:cNvPr id="1068" name="Button 44" hidden="1">
              <a:extLst>
                <a:ext uri="{63B3BB69-23CF-44E3-9099-C40C66FF867C}">
                  <a14:compatExt spid="_x0000_s1068"/>
                </a:ext>
                <a:ext uri="{FF2B5EF4-FFF2-40B4-BE49-F238E27FC236}">
                  <a16:creationId xmlns:a16="http://schemas.microsoft.com/office/drawing/2014/main" id="{00000000-0008-0000-0100-00002C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207</xdr:row>
          <xdr:rowOff>7620</xdr:rowOff>
        </xdr:from>
        <xdr:to>
          <xdr:col>9</xdr:col>
          <xdr:colOff>251460</xdr:colOff>
          <xdr:row>208</xdr:row>
          <xdr:rowOff>22860</xdr:rowOff>
        </xdr:to>
        <xdr:sp macro="" textlink="">
          <xdr:nvSpPr>
            <xdr:cNvPr id="1069" name="Button 45" hidden="1">
              <a:extLst>
                <a:ext uri="{63B3BB69-23CF-44E3-9099-C40C66FF867C}">
                  <a14:compatExt spid="_x0000_s1069"/>
                </a:ext>
                <a:ext uri="{FF2B5EF4-FFF2-40B4-BE49-F238E27FC236}">
                  <a16:creationId xmlns:a16="http://schemas.microsoft.com/office/drawing/2014/main" id="{00000000-0008-0000-0100-00002D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223</xdr:row>
          <xdr:rowOff>7620</xdr:rowOff>
        </xdr:from>
        <xdr:to>
          <xdr:col>9</xdr:col>
          <xdr:colOff>251460</xdr:colOff>
          <xdr:row>224</xdr:row>
          <xdr:rowOff>22860</xdr:rowOff>
        </xdr:to>
        <xdr:sp macro="" textlink="">
          <xdr:nvSpPr>
            <xdr:cNvPr id="1070" name="Button 46" hidden="1">
              <a:extLst>
                <a:ext uri="{63B3BB69-23CF-44E3-9099-C40C66FF867C}">
                  <a14:compatExt spid="_x0000_s1070"/>
                </a:ext>
                <a:ext uri="{FF2B5EF4-FFF2-40B4-BE49-F238E27FC236}">
                  <a16:creationId xmlns:a16="http://schemas.microsoft.com/office/drawing/2014/main" id="{00000000-0008-0000-0100-00002E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111</xdr:row>
          <xdr:rowOff>7620</xdr:rowOff>
        </xdr:from>
        <xdr:to>
          <xdr:col>9</xdr:col>
          <xdr:colOff>251460</xdr:colOff>
          <xdr:row>112</xdr:row>
          <xdr:rowOff>22860</xdr:rowOff>
        </xdr:to>
        <xdr:sp macro="" textlink="">
          <xdr:nvSpPr>
            <xdr:cNvPr id="1099" name="Button 75" hidden="1">
              <a:extLst>
                <a:ext uri="{63B3BB69-23CF-44E3-9099-C40C66FF867C}">
                  <a14:compatExt spid="_x0000_s1099"/>
                </a:ext>
                <a:ext uri="{FF2B5EF4-FFF2-40B4-BE49-F238E27FC236}">
                  <a16:creationId xmlns:a16="http://schemas.microsoft.com/office/drawing/2014/main" id="{00000000-0008-0000-0100-00004B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108</xdr:row>
          <xdr:rowOff>7620</xdr:rowOff>
        </xdr:from>
        <xdr:to>
          <xdr:col>9</xdr:col>
          <xdr:colOff>251460</xdr:colOff>
          <xdr:row>109</xdr:row>
          <xdr:rowOff>0</xdr:rowOff>
        </xdr:to>
        <xdr:sp macro="" textlink="">
          <xdr:nvSpPr>
            <xdr:cNvPr id="1109" name="Button 85" hidden="1">
              <a:extLst>
                <a:ext uri="{63B3BB69-23CF-44E3-9099-C40C66FF867C}">
                  <a14:compatExt spid="_x0000_s1109"/>
                </a:ext>
                <a:ext uri="{FF2B5EF4-FFF2-40B4-BE49-F238E27FC236}">
                  <a16:creationId xmlns:a16="http://schemas.microsoft.com/office/drawing/2014/main" id="{00000000-0008-0000-0100-000055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123</xdr:row>
          <xdr:rowOff>7620</xdr:rowOff>
        </xdr:from>
        <xdr:to>
          <xdr:col>9</xdr:col>
          <xdr:colOff>251460</xdr:colOff>
          <xdr:row>124</xdr:row>
          <xdr:rowOff>0</xdr:rowOff>
        </xdr:to>
        <xdr:sp macro="" textlink="">
          <xdr:nvSpPr>
            <xdr:cNvPr id="1110" name="Button 86" hidden="1">
              <a:extLst>
                <a:ext uri="{63B3BB69-23CF-44E3-9099-C40C66FF867C}">
                  <a14:compatExt spid="_x0000_s1110"/>
                </a:ext>
                <a:ext uri="{FF2B5EF4-FFF2-40B4-BE49-F238E27FC236}">
                  <a16:creationId xmlns:a16="http://schemas.microsoft.com/office/drawing/2014/main" id="{00000000-0008-0000-0100-000056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xdr:row>
          <xdr:rowOff>7620</xdr:rowOff>
        </xdr:from>
        <xdr:to>
          <xdr:col>10</xdr:col>
          <xdr:colOff>259080</xdr:colOff>
          <xdr:row>2</xdr:row>
          <xdr:rowOff>0</xdr:rowOff>
        </xdr:to>
        <xdr:sp macro="" textlink="">
          <xdr:nvSpPr>
            <xdr:cNvPr id="1145" name="Button 121" hidden="1">
              <a:extLst>
                <a:ext uri="{63B3BB69-23CF-44E3-9099-C40C66FF867C}">
                  <a14:compatExt spid="_x0000_s1145"/>
                </a:ext>
                <a:ext uri="{FF2B5EF4-FFF2-40B4-BE49-F238E27FC236}">
                  <a16:creationId xmlns:a16="http://schemas.microsoft.com/office/drawing/2014/main" id="{00000000-0008-0000-0100-000079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259</xdr:row>
          <xdr:rowOff>7620</xdr:rowOff>
        </xdr:from>
        <xdr:to>
          <xdr:col>9</xdr:col>
          <xdr:colOff>251460</xdr:colOff>
          <xdr:row>260</xdr:row>
          <xdr:rowOff>0</xdr:rowOff>
        </xdr:to>
        <xdr:sp macro="" textlink="">
          <xdr:nvSpPr>
            <xdr:cNvPr id="1150" name="Button 126" hidden="1">
              <a:extLst>
                <a:ext uri="{63B3BB69-23CF-44E3-9099-C40C66FF867C}">
                  <a14:compatExt spid="_x0000_s1150"/>
                </a:ext>
                <a:ext uri="{FF2B5EF4-FFF2-40B4-BE49-F238E27FC236}">
                  <a16:creationId xmlns:a16="http://schemas.microsoft.com/office/drawing/2014/main" id="{00000000-0008-0000-0100-00007E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99060</xdr:colOff>
          <xdr:row>4</xdr:row>
          <xdr:rowOff>7620</xdr:rowOff>
        </xdr:from>
        <xdr:to>
          <xdr:col>16</xdr:col>
          <xdr:colOff>0</xdr:colOff>
          <xdr:row>6</xdr:row>
          <xdr:rowOff>121920</xdr:rowOff>
        </xdr:to>
        <xdr:sp macro="" textlink="">
          <xdr:nvSpPr>
            <xdr:cNvPr id="1156" name="List Box 132" hidden="1">
              <a:extLst>
                <a:ext uri="{63B3BB69-23CF-44E3-9099-C40C66FF867C}">
                  <a14:compatExt spid="_x0000_s1156"/>
                </a:ext>
                <a:ext uri="{FF2B5EF4-FFF2-40B4-BE49-F238E27FC236}">
                  <a16:creationId xmlns:a16="http://schemas.microsoft.com/office/drawing/2014/main" id="{00000000-0008-0000-0100-00008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45720</xdr:colOff>
          <xdr:row>0</xdr:row>
          <xdr:rowOff>0</xdr:rowOff>
        </xdr:from>
        <xdr:to>
          <xdr:col>19</xdr:col>
          <xdr:colOff>144780</xdr:colOff>
          <xdr:row>1</xdr:row>
          <xdr:rowOff>0</xdr:rowOff>
        </xdr:to>
        <xdr:sp macro="" textlink="">
          <xdr:nvSpPr>
            <xdr:cNvPr id="1196" name="stLilaAnAus" hidden="1">
              <a:extLst>
                <a:ext uri="{63B3BB69-23CF-44E3-9099-C40C66FF867C}">
                  <a14:compatExt spid="_x0000_s1196"/>
                </a:ext>
                <a:ext uri="{FF2B5EF4-FFF2-40B4-BE49-F238E27FC236}">
                  <a16:creationId xmlns:a16="http://schemas.microsoft.com/office/drawing/2014/main" id="{00000000-0008-0000-0100-0000AC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editierbare Zellen farbig an/aus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19</xdr:col>
          <xdr:colOff>335280</xdr:colOff>
          <xdr:row>0</xdr:row>
          <xdr:rowOff>0</xdr:rowOff>
        </xdr:from>
        <xdr:to>
          <xdr:col>22</xdr:col>
          <xdr:colOff>144780</xdr:colOff>
          <xdr:row>1</xdr:row>
          <xdr:rowOff>0</xdr:rowOff>
        </xdr:to>
        <xdr:sp macro="" textlink="">
          <xdr:nvSpPr>
            <xdr:cNvPr id="1198" name="stReferenzErzeugen" hidden="1">
              <a:extLst>
                <a:ext uri="{63B3BB69-23CF-44E3-9099-C40C66FF867C}">
                  <a14:compatExt spid="_x0000_s1198"/>
                </a:ext>
                <a:ext uri="{FF2B5EF4-FFF2-40B4-BE49-F238E27FC236}">
                  <a16:creationId xmlns:a16="http://schemas.microsoft.com/office/drawing/2014/main" id="{00000000-0008-0000-0100-0000AE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Projekt laden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272</xdr:row>
          <xdr:rowOff>7620</xdr:rowOff>
        </xdr:from>
        <xdr:to>
          <xdr:col>9</xdr:col>
          <xdr:colOff>251460</xdr:colOff>
          <xdr:row>273</xdr:row>
          <xdr:rowOff>0</xdr:rowOff>
        </xdr:to>
        <xdr:sp macro="" textlink="">
          <xdr:nvSpPr>
            <xdr:cNvPr id="1208" name="Button 184" hidden="1">
              <a:extLst>
                <a:ext uri="{63B3BB69-23CF-44E3-9099-C40C66FF867C}">
                  <a14:compatExt spid="_x0000_s1208"/>
                </a:ext>
                <a:ext uri="{FF2B5EF4-FFF2-40B4-BE49-F238E27FC236}">
                  <a16:creationId xmlns:a16="http://schemas.microsoft.com/office/drawing/2014/main" id="{00000000-0008-0000-0100-0000B8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300</xdr:row>
          <xdr:rowOff>7620</xdr:rowOff>
        </xdr:from>
        <xdr:to>
          <xdr:col>9</xdr:col>
          <xdr:colOff>251460</xdr:colOff>
          <xdr:row>301</xdr:row>
          <xdr:rowOff>0</xdr:rowOff>
        </xdr:to>
        <xdr:sp macro="" textlink="">
          <xdr:nvSpPr>
            <xdr:cNvPr id="1212" name="Button 188" hidden="1">
              <a:extLst>
                <a:ext uri="{63B3BB69-23CF-44E3-9099-C40C66FF867C}">
                  <a14:compatExt spid="_x0000_s1212"/>
                </a:ext>
                <a:ext uri="{FF2B5EF4-FFF2-40B4-BE49-F238E27FC236}">
                  <a16:creationId xmlns:a16="http://schemas.microsoft.com/office/drawing/2014/main" id="{00000000-0008-0000-0100-0000BC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19</xdr:col>
          <xdr:colOff>335280</xdr:colOff>
          <xdr:row>1</xdr:row>
          <xdr:rowOff>30480</xdr:rowOff>
        </xdr:from>
        <xdr:to>
          <xdr:col>22</xdr:col>
          <xdr:colOff>144780</xdr:colOff>
          <xdr:row>2</xdr:row>
          <xdr:rowOff>7620</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Projekt speichern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22</xdr:col>
          <xdr:colOff>297180</xdr:colOff>
          <xdr:row>0</xdr:row>
          <xdr:rowOff>0</xdr:rowOff>
        </xdr:from>
        <xdr:to>
          <xdr:col>24</xdr:col>
          <xdr:colOff>754380</xdr:colOff>
          <xdr:row>1</xdr:row>
          <xdr:rowOff>0</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alle 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22860</xdr:colOff>
          <xdr:row>232</xdr:row>
          <xdr:rowOff>22860</xdr:rowOff>
        </xdr:from>
        <xdr:to>
          <xdr:col>9</xdr:col>
          <xdr:colOff>251460</xdr:colOff>
          <xdr:row>233</xdr:row>
          <xdr:rowOff>22860</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236</xdr:row>
          <xdr:rowOff>7620</xdr:rowOff>
        </xdr:from>
        <xdr:to>
          <xdr:col>9</xdr:col>
          <xdr:colOff>251460</xdr:colOff>
          <xdr:row>258</xdr:row>
          <xdr:rowOff>22860</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7620</xdr:colOff>
          <xdr:row>0</xdr:row>
          <xdr:rowOff>0</xdr:rowOff>
        </xdr:from>
        <xdr:to>
          <xdr:col>9</xdr:col>
          <xdr:colOff>251460</xdr:colOff>
          <xdr:row>0</xdr:row>
          <xdr:rowOff>236220</xdr:rowOff>
        </xdr:to>
        <xdr:sp macro="" textlink="">
          <xdr:nvSpPr>
            <xdr:cNvPr id="176129" name="Button 8" hidden="1">
              <a:extLst>
                <a:ext uri="{63B3BB69-23CF-44E3-9099-C40C66FF867C}">
                  <a14:compatExt spid="_x0000_s176129"/>
                </a:ext>
                <a:ext uri="{FF2B5EF4-FFF2-40B4-BE49-F238E27FC236}">
                  <a16:creationId xmlns:a16="http://schemas.microsoft.com/office/drawing/2014/main" id="{00000000-0008-0000-0200-000001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5</xdr:row>
          <xdr:rowOff>7620</xdr:rowOff>
        </xdr:from>
        <xdr:to>
          <xdr:col>9</xdr:col>
          <xdr:colOff>251460</xdr:colOff>
          <xdr:row>5</xdr:row>
          <xdr:rowOff>251460</xdr:rowOff>
        </xdr:to>
        <xdr:sp macro="" textlink="">
          <xdr:nvSpPr>
            <xdr:cNvPr id="176130" name="Button 33" hidden="1">
              <a:extLst>
                <a:ext uri="{63B3BB69-23CF-44E3-9099-C40C66FF867C}">
                  <a14:compatExt spid="_x0000_s176130"/>
                </a:ext>
                <a:ext uri="{FF2B5EF4-FFF2-40B4-BE49-F238E27FC236}">
                  <a16:creationId xmlns:a16="http://schemas.microsoft.com/office/drawing/2014/main" id="{00000000-0008-0000-0200-000002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13</xdr:row>
          <xdr:rowOff>7620</xdr:rowOff>
        </xdr:from>
        <xdr:to>
          <xdr:col>9</xdr:col>
          <xdr:colOff>251460</xdr:colOff>
          <xdr:row>14</xdr:row>
          <xdr:rowOff>0</xdr:rowOff>
        </xdr:to>
        <xdr:sp macro="" textlink="">
          <xdr:nvSpPr>
            <xdr:cNvPr id="176131" name="Button 35" hidden="1">
              <a:extLst>
                <a:ext uri="{63B3BB69-23CF-44E3-9099-C40C66FF867C}">
                  <a14:compatExt spid="_x0000_s176131"/>
                </a:ext>
                <a:ext uri="{FF2B5EF4-FFF2-40B4-BE49-F238E27FC236}">
                  <a16:creationId xmlns:a16="http://schemas.microsoft.com/office/drawing/2014/main" id="{00000000-0008-0000-0200-000003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127</xdr:row>
          <xdr:rowOff>7620</xdr:rowOff>
        </xdr:from>
        <xdr:to>
          <xdr:col>9</xdr:col>
          <xdr:colOff>251460</xdr:colOff>
          <xdr:row>128</xdr:row>
          <xdr:rowOff>0</xdr:rowOff>
        </xdr:to>
        <xdr:sp macro="" textlink="">
          <xdr:nvSpPr>
            <xdr:cNvPr id="176132" name="Button 38" hidden="1">
              <a:extLst>
                <a:ext uri="{63B3BB69-23CF-44E3-9099-C40C66FF867C}">
                  <a14:compatExt spid="_x0000_s176132"/>
                </a:ext>
                <a:ext uri="{FF2B5EF4-FFF2-40B4-BE49-F238E27FC236}">
                  <a16:creationId xmlns:a16="http://schemas.microsoft.com/office/drawing/2014/main" id="{00000000-0008-0000-0200-000004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145</xdr:row>
          <xdr:rowOff>7620</xdr:rowOff>
        </xdr:from>
        <xdr:to>
          <xdr:col>9</xdr:col>
          <xdr:colOff>251460</xdr:colOff>
          <xdr:row>146</xdr:row>
          <xdr:rowOff>0</xdr:rowOff>
        </xdr:to>
        <xdr:sp macro="" textlink="">
          <xdr:nvSpPr>
            <xdr:cNvPr id="176133" name="Button 5" hidden="1">
              <a:extLst>
                <a:ext uri="{63B3BB69-23CF-44E3-9099-C40C66FF867C}">
                  <a14:compatExt spid="_x0000_s176133"/>
                </a:ext>
                <a:ext uri="{FF2B5EF4-FFF2-40B4-BE49-F238E27FC236}">
                  <a16:creationId xmlns:a16="http://schemas.microsoft.com/office/drawing/2014/main" id="{00000000-0008-0000-0200-000005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173</xdr:row>
          <xdr:rowOff>7620</xdr:rowOff>
        </xdr:from>
        <xdr:to>
          <xdr:col>9</xdr:col>
          <xdr:colOff>251460</xdr:colOff>
          <xdr:row>174</xdr:row>
          <xdr:rowOff>0</xdr:rowOff>
        </xdr:to>
        <xdr:sp macro="" textlink="">
          <xdr:nvSpPr>
            <xdr:cNvPr id="176134" name="Button 40" hidden="1">
              <a:extLst>
                <a:ext uri="{63B3BB69-23CF-44E3-9099-C40C66FF867C}">
                  <a14:compatExt spid="_x0000_s176134"/>
                </a:ext>
                <a:ext uri="{FF2B5EF4-FFF2-40B4-BE49-F238E27FC236}">
                  <a16:creationId xmlns:a16="http://schemas.microsoft.com/office/drawing/2014/main" id="{00000000-0008-0000-0200-000006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177</xdr:row>
          <xdr:rowOff>7620</xdr:rowOff>
        </xdr:from>
        <xdr:to>
          <xdr:col>9</xdr:col>
          <xdr:colOff>251460</xdr:colOff>
          <xdr:row>178</xdr:row>
          <xdr:rowOff>0</xdr:rowOff>
        </xdr:to>
        <xdr:sp macro="" textlink="">
          <xdr:nvSpPr>
            <xdr:cNvPr id="176135" name="Button 41" hidden="1">
              <a:extLst>
                <a:ext uri="{63B3BB69-23CF-44E3-9099-C40C66FF867C}">
                  <a14:compatExt spid="_x0000_s176135"/>
                </a:ext>
                <a:ext uri="{FF2B5EF4-FFF2-40B4-BE49-F238E27FC236}">
                  <a16:creationId xmlns:a16="http://schemas.microsoft.com/office/drawing/2014/main" id="{00000000-0008-0000-0200-000007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188</xdr:row>
          <xdr:rowOff>7620</xdr:rowOff>
        </xdr:from>
        <xdr:to>
          <xdr:col>9</xdr:col>
          <xdr:colOff>251460</xdr:colOff>
          <xdr:row>189</xdr:row>
          <xdr:rowOff>0</xdr:rowOff>
        </xdr:to>
        <xdr:sp macro="" textlink="">
          <xdr:nvSpPr>
            <xdr:cNvPr id="176136" name="Button 8" hidden="1">
              <a:extLst>
                <a:ext uri="{63B3BB69-23CF-44E3-9099-C40C66FF867C}">
                  <a14:compatExt spid="_x0000_s176136"/>
                </a:ext>
                <a:ext uri="{FF2B5EF4-FFF2-40B4-BE49-F238E27FC236}">
                  <a16:creationId xmlns:a16="http://schemas.microsoft.com/office/drawing/2014/main" id="{00000000-0008-0000-0200-000008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200</xdr:row>
          <xdr:rowOff>7620</xdr:rowOff>
        </xdr:from>
        <xdr:to>
          <xdr:col>9</xdr:col>
          <xdr:colOff>251460</xdr:colOff>
          <xdr:row>201</xdr:row>
          <xdr:rowOff>0</xdr:rowOff>
        </xdr:to>
        <xdr:sp macro="" textlink="">
          <xdr:nvSpPr>
            <xdr:cNvPr id="176137" name="Button 9" hidden="1">
              <a:extLst>
                <a:ext uri="{63B3BB69-23CF-44E3-9099-C40C66FF867C}">
                  <a14:compatExt spid="_x0000_s176137"/>
                </a:ext>
                <a:ext uri="{FF2B5EF4-FFF2-40B4-BE49-F238E27FC236}">
                  <a16:creationId xmlns:a16="http://schemas.microsoft.com/office/drawing/2014/main" id="{00000000-0008-0000-0200-000009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204</xdr:row>
          <xdr:rowOff>7620</xdr:rowOff>
        </xdr:from>
        <xdr:to>
          <xdr:col>9</xdr:col>
          <xdr:colOff>251460</xdr:colOff>
          <xdr:row>205</xdr:row>
          <xdr:rowOff>0</xdr:rowOff>
        </xdr:to>
        <xdr:sp macro="" textlink="">
          <xdr:nvSpPr>
            <xdr:cNvPr id="176138" name="Button 10" hidden="1">
              <a:extLst>
                <a:ext uri="{63B3BB69-23CF-44E3-9099-C40C66FF867C}">
                  <a14:compatExt spid="_x0000_s176138"/>
                </a:ext>
                <a:ext uri="{FF2B5EF4-FFF2-40B4-BE49-F238E27FC236}">
                  <a16:creationId xmlns:a16="http://schemas.microsoft.com/office/drawing/2014/main" id="{00000000-0008-0000-0200-00000A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220</xdr:row>
          <xdr:rowOff>7620</xdr:rowOff>
        </xdr:from>
        <xdr:to>
          <xdr:col>9</xdr:col>
          <xdr:colOff>251460</xdr:colOff>
          <xdr:row>221</xdr:row>
          <xdr:rowOff>0</xdr:rowOff>
        </xdr:to>
        <xdr:sp macro="" textlink="">
          <xdr:nvSpPr>
            <xdr:cNvPr id="176139" name="Button 11" hidden="1">
              <a:extLst>
                <a:ext uri="{63B3BB69-23CF-44E3-9099-C40C66FF867C}">
                  <a14:compatExt spid="_x0000_s176139"/>
                </a:ext>
                <a:ext uri="{FF2B5EF4-FFF2-40B4-BE49-F238E27FC236}">
                  <a16:creationId xmlns:a16="http://schemas.microsoft.com/office/drawing/2014/main" id="{00000000-0008-0000-0200-00000B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111</xdr:row>
          <xdr:rowOff>7620</xdr:rowOff>
        </xdr:from>
        <xdr:to>
          <xdr:col>9</xdr:col>
          <xdr:colOff>251460</xdr:colOff>
          <xdr:row>112</xdr:row>
          <xdr:rowOff>0</xdr:rowOff>
        </xdr:to>
        <xdr:sp macro="" textlink="">
          <xdr:nvSpPr>
            <xdr:cNvPr id="176140" name="Button 75" hidden="1">
              <a:extLst>
                <a:ext uri="{63B3BB69-23CF-44E3-9099-C40C66FF867C}">
                  <a14:compatExt spid="_x0000_s176140"/>
                </a:ext>
                <a:ext uri="{FF2B5EF4-FFF2-40B4-BE49-F238E27FC236}">
                  <a16:creationId xmlns:a16="http://schemas.microsoft.com/office/drawing/2014/main" id="{00000000-0008-0000-0200-00000C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108</xdr:row>
          <xdr:rowOff>7620</xdr:rowOff>
        </xdr:from>
        <xdr:to>
          <xdr:col>9</xdr:col>
          <xdr:colOff>251460</xdr:colOff>
          <xdr:row>109</xdr:row>
          <xdr:rowOff>0</xdr:rowOff>
        </xdr:to>
        <xdr:sp macro="" textlink="">
          <xdr:nvSpPr>
            <xdr:cNvPr id="176141" name="Button 85" hidden="1">
              <a:extLst>
                <a:ext uri="{63B3BB69-23CF-44E3-9099-C40C66FF867C}">
                  <a14:compatExt spid="_x0000_s176141"/>
                </a:ext>
                <a:ext uri="{FF2B5EF4-FFF2-40B4-BE49-F238E27FC236}">
                  <a16:creationId xmlns:a16="http://schemas.microsoft.com/office/drawing/2014/main" id="{00000000-0008-0000-0200-00000D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123</xdr:row>
          <xdr:rowOff>7620</xdr:rowOff>
        </xdr:from>
        <xdr:to>
          <xdr:col>9</xdr:col>
          <xdr:colOff>251460</xdr:colOff>
          <xdr:row>124</xdr:row>
          <xdr:rowOff>0</xdr:rowOff>
        </xdr:to>
        <xdr:sp macro="" textlink="">
          <xdr:nvSpPr>
            <xdr:cNvPr id="176142" name="Button 86" hidden="1">
              <a:extLst>
                <a:ext uri="{63B3BB69-23CF-44E3-9099-C40C66FF867C}">
                  <a14:compatExt spid="_x0000_s176142"/>
                </a:ext>
                <a:ext uri="{FF2B5EF4-FFF2-40B4-BE49-F238E27FC236}">
                  <a16:creationId xmlns:a16="http://schemas.microsoft.com/office/drawing/2014/main" id="{00000000-0008-0000-0200-00000E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xdr:row>
          <xdr:rowOff>7620</xdr:rowOff>
        </xdr:from>
        <xdr:to>
          <xdr:col>10</xdr:col>
          <xdr:colOff>251460</xdr:colOff>
          <xdr:row>1</xdr:row>
          <xdr:rowOff>251460</xdr:rowOff>
        </xdr:to>
        <xdr:sp macro="" textlink="">
          <xdr:nvSpPr>
            <xdr:cNvPr id="176143" name="Button 15" hidden="1">
              <a:extLst>
                <a:ext uri="{63B3BB69-23CF-44E3-9099-C40C66FF867C}">
                  <a14:compatExt spid="_x0000_s176143"/>
                </a:ext>
                <a:ext uri="{FF2B5EF4-FFF2-40B4-BE49-F238E27FC236}">
                  <a16:creationId xmlns:a16="http://schemas.microsoft.com/office/drawing/2014/main" id="{00000000-0008-0000-0200-00000F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227</xdr:row>
          <xdr:rowOff>7620</xdr:rowOff>
        </xdr:from>
        <xdr:to>
          <xdr:col>9</xdr:col>
          <xdr:colOff>251460</xdr:colOff>
          <xdr:row>228</xdr:row>
          <xdr:rowOff>0</xdr:rowOff>
        </xdr:to>
        <xdr:sp macro="" textlink="">
          <xdr:nvSpPr>
            <xdr:cNvPr id="176144" name="Button 16" hidden="1">
              <a:extLst>
                <a:ext uri="{63B3BB69-23CF-44E3-9099-C40C66FF867C}">
                  <a14:compatExt spid="_x0000_s176144"/>
                </a:ext>
                <a:ext uri="{FF2B5EF4-FFF2-40B4-BE49-F238E27FC236}">
                  <a16:creationId xmlns:a16="http://schemas.microsoft.com/office/drawing/2014/main" id="{00000000-0008-0000-0200-000010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240</xdr:row>
          <xdr:rowOff>7620</xdr:rowOff>
        </xdr:from>
        <xdr:to>
          <xdr:col>9</xdr:col>
          <xdr:colOff>251460</xdr:colOff>
          <xdr:row>241</xdr:row>
          <xdr:rowOff>0</xdr:rowOff>
        </xdr:to>
        <xdr:sp macro="" textlink="">
          <xdr:nvSpPr>
            <xdr:cNvPr id="176148" name="Button 20" hidden="1">
              <a:extLst>
                <a:ext uri="{63B3BB69-23CF-44E3-9099-C40C66FF867C}">
                  <a14:compatExt spid="_x0000_s176148"/>
                </a:ext>
                <a:ext uri="{FF2B5EF4-FFF2-40B4-BE49-F238E27FC236}">
                  <a16:creationId xmlns:a16="http://schemas.microsoft.com/office/drawing/2014/main" id="{00000000-0008-0000-0200-000014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268</xdr:row>
          <xdr:rowOff>7620</xdr:rowOff>
        </xdr:from>
        <xdr:to>
          <xdr:col>9</xdr:col>
          <xdr:colOff>251460</xdr:colOff>
          <xdr:row>269</xdr:row>
          <xdr:rowOff>0</xdr:rowOff>
        </xdr:to>
        <xdr:sp macro="" textlink="">
          <xdr:nvSpPr>
            <xdr:cNvPr id="176149" name="Button 21" hidden="1">
              <a:extLst>
                <a:ext uri="{63B3BB69-23CF-44E3-9099-C40C66FF867C}">
                  <a14:compatExt spid="_x0000_s176149"/>
                </a:ext>
                <a:ext uri="{FF2B5EF4-FFF2-40B4-BE49-F238E27FC236}">
                  <a16:creationId xmlns:a16="http://schemas.microsoft.com/office/drawing/2014/main" id="{00000000-0008-0000-0200-000015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224</xdr:row>
          <xdr:rowOff>7620</xdr:rowOff>
        </xdr:from>
        <xdr:to>
          <xdr:col>9</xdr:col>
          <xdr:colOff>251460</xdr:colOff>
          <xdr:row>225</xdr:row>
          <xdr:rowOff>0</xdr:rowOff>
        </xdr:to>
        <xdr:sp macro="" textlink="">
          <xdr:nvSpPr>
            <xdr:cNvPr id="176153" name="Button 25" hidden="1">
              <a:extLst>
                <a:ext uri="{63B3BB69-23CF-44E3-9099-C40C66FF867C}">
                  <a14:compatExt spid="_x0000_s176153"/>
                </a:ext>
                <a:ext uri="{FF2B5EF4-FFF2-40B4-BE49-F238E27FC236}">
                  <a16:creationId xmlns:a16="http://schemas.microsoft.com/office/drawing/2014/main" id="{00000000-0008-0000-0200-000019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12</xdr:col>
      <xdr:colOff>262890</xdr:colOff>
      <xdr:row>28</xdr:row>
      <xdr:rowOff>57150</xdr:rowOff>
    </xdr:from>
    <xdr:to>
      <xdr:col>17</xdr:col>
      <xdr:colOff>53340</xdr:colOff>
      <xdr:row>33</xdr:row>
      <xdr:rowOff>287655</xdr:rowOff>
    </xdr:to>
    <xdr:sp macro="" textlink="">
      <xdr:nvSpPr>
        <xdr:cNvPr id="19" name="Textfeld 18">
          <a:extLst>
            <a:ext uri="{FF2B5EF4-FFF2-40B4-BE49-F238E27FC236}">
              <a16:creationId xmlns:a16="http://schemas.microsoft.com/office/drawing/2014/main" id="{00000000-0008-0000-0300-000013000000}"/>
            </a:ext>
          </a:extLst>
        </xdr:cNvPr>
        <xdr:cNvSpPr txBox="1"/>
      </xdr:nvSpPr>
      <xdr:spPr>
        <a:xfrm>
          <a:off x="7006590" y="4695825"/>
          <a:ext cx="5482590" cy="941070"/>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de-DE" sz="1100" b="1"/>
            <a:t>Hinweise zu</a:t>
          </a:r>
          <a:r>
            <a:rPr lang="de-DE" sz="1100" b="1" baseline="0"/>
            <a:t>r Stoffauswahl bei U-Wert-Berechnung</a:t>
          </a:r>
          <a:endParaRPr lang="de-DE" sz="1100" b="1"/>
        </a:p>
        <a:p>
          <a:pPr algn="l"/>
          <a:r>
            <a:rPr lang="de-DE" sz="1100"/>
            <a:t>- Bei nachträglicher Änderung Quelle/Stoffart Anpassung notwendig (rote Schrift). </a:t>
          </a:r>
        </a:p>
        <a:p>
          <a:r>
            <a:rPr lang="de-DE" sz="1100"/>
            <a:t>- Gefachbereiche beginnen immer mit "G1" bzw. bei 2 Ebenen</a:t>
          </a:r>
          <a:r>
            <a:rPr lang="de-DE" sz="1100" baseline="0"/>
            <a:t> mit "G2"</a:t>
          </a:r>
          <a:r>
            <a:rPr lang="de-DE" sz="1100"/>
            <a:t> und bestehen aus bis zu 2  (G1, H1</a:t>
          </a:r>
          <a:r>
            <a:rPr lang="de-DE" sz="1100" baseline="0"/>
            <a:t> bzw. G2, H2) </a:t>
          </a:r>
          <a:r>
            <a:rPr lang="de-DE" sz="1100"/>
            <a:t>zusammenhängenden</a:t>
          </a:r>
          <a:r>
            <a:rPr lang="de-DE" sz="1100" baseline="0"/>
            <a:t> </a:t>
          </a:r>
          <a:r>
            <a:rPr lang="de-DE" sz="1100"/>
            <a:t>Zeilen für Gefach- und Holzanteil.</a:t>
          </a:r>
        </a:p>
        <a:p>
          <a:r>
            <a:rPr lang="de-DE" sz="1100"/>
            <a:t>-</a:t>
          </a:r>
          <a:r>
            <a:rPr lang="de-DE" sz="1100" baseline="0"/>
            <a:t> Bei Fehlermeldung #NV oder #Wert in Spalte Lambda fehlt Angabe Stoffart oder Stoff.</a:t>
          </a:r>
        </a:p>
      </xdr:txBody>
    </xdr:sp>
    <xdr:clientData/>
  </xdr:twoCellAnchor>
  <mc:AlternateContent xmlns:mc="http://schemas.openxmlformats.org/markup-compatibility/2006">
    <mc:Choice xmlns:a14="http://schemas.microsoft.com/office/drawing/2010/main" Requires="a14">
      <xdr:twoCellAnchor editAs="oneCell">
        <xdr:from>
          <xdr:col>10</xdr:col>
          <xdr:colOff>7620</xdr:colOff>
          <xdr:row>0</xdr:row>
          <xdr:rowOff>0</xdr:rowOff>
        </xdr:from>
        <xdr:to>
          <xdr:col>11</xdr:col>
          <xdr:colOff>0</xdr:colOff>
          <xdr:row>1</xdr:row>
          <xdr:rowOff>15240</xdr:rowOff>
        </xdr:to>
        <xdr:sp macro="" textlink="">
          <xdr:nvSpPr>
            <xdr:cNvPr id="4107" name="Button 11" hidden="1">
              <a:extLst>
                <a:ext uri="{63B3BB69-23CF-44E3-9099-C40C66FF867C}">
                  <a14:compatExt spid="_x0000_s4107"/>
                </a:ext>
                <a:ext uri="{FF2B5EF4-FFF2-40B4-BE49-F238E27FC236}">
                  <a16:creationId xmlns:a16="http://schemas.microsoft.com/office/drawing/2014/main" id="{00000000-0008-0000-0300-00000B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xdr:row>
          <xdr:rowOff>30480</xdr:rowOff>
        </xdr:from>
        <xdr:to>
          <xdr:col>12</xdr:col>
          <xdr:colOff>0</xdr:colOff>
          <xdr:row>2</xdr:row>
          <xdr:rowOff>57150</xdr:rowOff>
        </xdr:to>
        <xdr:sp macro="" textlink="">
          <xdr:nvSpPr>
            <xdr:cNvPr id="4169" name="Button 73" hidden="1">
              <a:extLst>
                <a:ext uri="{63B3BB69-23CF-44E3-9099-C40C66FF867C}">
                  <a14:compatExt spid="_x0000_s4169"/>
                </a:ext>
                <a:ext uri="{FF2B5EF4-FFF2-40B4-BE49-F238E27FC236}">
                  <a16:creationId xmlns:a16="http://schemas.microsoft.com/office/drawing/2014/main" id="{00000000-0008-0000-0300-000049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3</xdr:row>
          <xdr:rowOff>0</xdr:rowOff>
        </xdr:from>
        <xdr:to>
          <xdr:col>11</xdr:col>
          <xdr:colOff>0</xdr:colOff>
          <xdr:row>4</xdr:row>
          <xdr:rowOff>15240</xdr:rowOff>
        </xdr:to>
        <xdr:sp macro="" textlink="">
          <xdr:nvSpPr>
            <xdr:cNvPr id="4264" name="Button 168" hidden="1">
              <a:extLst>
                <a:ext uri="{63B3BB69-23CF-44E3-9099-C40C66FF867C}">
                  <a14:compatExt spid="_x0000_s4264"/>
                </a:ext>
                <a:ext uri="{FF2B5EF4-FFF2-40B4-BE49-F238E27FC236}">
                  <a16:creationId xmlns:a16="http://schemas.microsoft.com/office/drawing/2014/main" id="{00000000-0008-0000-0300-0000A8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7620</xdr:colOff>
          <xdr:row>36</xdr:row>
          <xdr:rowOff>152400</xdr:rowOff>
        </xdr:from>
        <xdr:to>
          <xdr:col>13</xdr:col>
          <xdr:colOff>518160</xdr:colOff>
          <xdr:row>37</xdr:row>
          <xdr:rowOff>175260</xdr:rowOff>
        </xdr:to>
        <xdr:sp macro="" textlink="">
          <xdr:nvSpPr>
            <xdr:cNvPr id="4300" name="Button 204" hidden="1">
              <a:extLst>
                <a:ext uri="{63B3BB69-23CF-44E3-9099-C40C66FF867C}">
                  <a14:compatExt spid="_x0000_s4300"/>
                </a:ext>
                <a:ext uri="{FF2B5EF4-FFF2-40B4-BE49-F238E27FC236}">
                  <a16:creationId xmlns:a16="http://schemas.microsoft.com/office/drawing/2014/main" id="{00000000-0008-0000-0300-0000CC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7620</xdr:colOff>
          <xdr:row>124</xdr:row>
          <xdr:rowOff>152400</xdr:rowOff>
        </xdr:from>
        <xdr:to>
          <xdr:col>13</xdr:col>
          <xdr:colOff>518160</xdr:colOff>
          <xdr:row>125</xdr:row>
          <xdr:rowOff>175260</xdr:rowOff>
        </xdr:to>
        <xdr:sp macro="" textlink="">
          <xdr:nvSpPr>
            <xdr:cNvPr id="4301" name="Button 205" hidden="1">
              <a:extLst>
                <a:ext uri="{63B3BB69-23CF-44E3-9099-C40C66FF867C}">
                  <a14:compatExt spid="_x0000_s4301"/>
                </a:ext>
                <a:ext uri="{FF2B5EF4-FFF2-40B4-BE49-F238E27FC236}">
                  <a16:creationId xmlns:a16="http://schemas.microsoft.com/office/drawing/2014/main" id="{00000000-0008-0000-0300-0000CD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7620</xdr:colOff>
          <xdr:row>80</xdr:row>
          <xdr:rowOff>152400</xdr:rowOff>
        </xdr:from>
        <xdr:to>
          <xdr:col>13</xdr:col>
          <xdr:colOff>518160</xdr:colOff>
          <xdr:row>81</xdr:row>
          <xdr:rowOff>175260</xdr:rowOff>
        </xdr:to>
        <xdr:sp macro="" textlink="">
          <xdr:nvSpPr>
            <xdr:cNvPr id="4305" name="Button 209" hidden="1">
              <a:extLst>
                <a:ext uri="{63B3BB69-23CF-44E3-9099-C40C66FF867C}">
                  <a14:compatExt spid="_x0000_s4305"/>
                </a:ext>
                <a:ext uri="{FF2B5EF4-FFF2-40B4-BE49-F238E27FC236}">
                  <a16:creationId xmlns:a16="http://schemas.microsoft.com/office/drawing/2014/main" id="{00000000-0008-0000-0300-0000D1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7620</xdr:colOff>
          <xdr:row>58</xdr:row>
          <xdr:rowOff>152400</xdr:rowOff>
        </xdr:from>
        <xdr:to>
          <xdr:col>13</xdr:col>
          <xdr:colOff>518160</xdr:colOff>
          <xdr:row>59</xdr:row>
          <xdr:rowOff>175260</xdr:rowOff>
        </xdr:to>
        <xdr:sp macro="" textlink="">
          <xdr:nvSpPr>
            <xdr:cNvPr id="4306" name="Button 210" hidden="1">
              <a:extLst>
                <a:ext uri="{63B3BB69-23CF-44E3-9099-C40C66FF867C}">
                  <a14:compatExt spid="_x0000_s4306"/>
                </a:ext>
                <a:ext uri="{FF2B5EF4-FFF2-40B4-BE49-F238E27FC236}">
                  <a16:creationId xmlns:a16="http://schemas.microsoft.com/office/drawing/2014/main" id="{00000000-0008-0000-0300-0000D2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7620</xdr:colOff>
          <xdr:row>146</xdr:row>
          <xdr:rowOff>152400</xdr:rowOff>
        </xdr:from>
        <xdr:to>
          <xdr:col>13</xdr:col>
          <xdr:colOff>518160</xdr:colOff>
          <xdr:row>147</xdr:row>
          <xdr:rowOff>175260</xdr:rowOff>
        </xdr:to>
        <xdr:sp macro="" textlink="">
          <xdr:nvSpPr>
            <xdr:cNvPr id="4310" name="Button 214" hidden="1">
              <a:extLst>
                <a:ext uri="{63B3BB69-23CF-44E3-9099-C40C66FF867C}">
                  <a14:compatExt spid="_x0000_s4310"/>
                </a:ext>
                <a:ext uri="{FF2B5EF4-FFF2-40B4-BE49-F238E27FC236}">
                  <a16:creationId xmlns:a16="http://schemas.microsoft.com/office/drawing/2014/main" id="{00000000-0008-0000-0300-0000D6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7620</xdr:colOff>
          <xdr:row>168</xdr:row>
          <xdr:rowOff>152400</xdr:rowOff>
        </xdr:from>
        <xdr:to>
          <xdr:col>13</xdr:col>
          <xdr:colOff>518160</xdr:colOff>
          <xdr:row>169</xdr:row>
          <xdr:rowOff>175260</xdr:rowOff>
        </xdr:to>
        <xdr:sp macro="" textlink="">
          <xdr:nvSpPr>
            <xdr:cNvPr id="4312" name="Button 216" hidden="1">
              <a:extLst>
                <a:ext uri="{63B3BB69-23CF-44E3-9099-C40C66FF867C}">
                  <a14:compatExt spid="_x0000_s4312"/>
                </a:ext>
                <a:ext uri="{FF2B5EF4-FFF2-40B4-BE49-F238E27FC236}">
                  <a16:creationId xmlns:a16="http://schemas.microsoft.com/office/drawing/2014/main" id="{00000000-0008-0000-0300-0000D8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7620</xdr:colOff>
          <xdr:row>190</xdr:row>
          <xdr:rowOff>152400</xdr:rowOff>
        </xdr:from>
        <xdr:to>
          <xdr:col>13</xdr:col>
          <xdr:colOff>518160</xdr:colOff>
          <xdr:row>191</xdr:row>
          <xdr:rowOff>175260</xdr:rowOff>
        </xdr:to>
        <xdr:sp macro="" textlink="">
          <xdr:nvSpPr>
            <xdr:cNvPr id="4314" name="Button 218" hidden="1">
              <a:extLst>
                <a:ext uri="{63B3BB69-23CF-44E3-9099-C40C66FF867C}">
                  <a14:compatExt spid="_x0000_s4314"/>
                </a:ext>
                <a:ext uri="{FF2B5EF4-FFF2-40B4-BE49-F238E27FC236}">
                  <a16:creationId xmlns:a16="http://schemas.microsoft.com/office/drawing/2014/main" id="{00000000-0008-0000-0300-0000DA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7620</xdr:colOff>
          <xdr:row>212</xdr:row>
          <xdr:rowOff>152400</xdr:rowOff>
        </xdr:from>
        <xdr:to>
          <xdr:col>13</xdr:col>
          <xdr:colOff>518160</xdr:colOff>
          <xdr:row>213</xdr:row>
          <xdr:rowOff>175260</xdr:rowOff>
        </xdr:to>
        <xdr:sp macro="" textlink="">
          <xdr:nvSpPr>
            <xdr:cNvPr id="4316" name="Button 220" hidden="1">
              <a:extLst>
                <a:ext uri="{63B3BB69-23CF-44E3-9099-C40C66FF867C}">
                  <a14:compatExt spid="_x0000_s4316"/>
                </a:ext>
                <a:ext uri="{FF2B5EF4-FFF2-40B4-BE49-F238E27FC236}">
                  <a16:creationId xmlns:a16="http://schemas.microsoft.com/office/drawing/2014/main" id="{00000000-0008-0000-0300-0000DC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7620</xdr:colOff>
          <xdr:row>234</xdr:row>
          <xdr:rowOff>152400</xdr:rowOff>
        </xdr:from>
        <xdr:to>
          <xdr:col>13</xdr:col>
          <xdr:colOff>518160</xdr:colOff>
          <xdr:row>235</xdr:row>
          <xdr:rowOff>175260</xdr:rowOff>
        </xdr:to>
        <xdr:sp macro="" textlink="">
          <xdr:nvSpPr>
            <xdr:cNvPr id="4318" name="Button 222" hidden="1">
              <a:extLst>
                <a:ext uri="{63B3BB69-23CF-44E3-9099-C40C66FF867C}">
                  <a14:compatExt spid="_x0000_s4318"/>
                </a:ext>
                <a:ext uri="{FF2B5EF4-FFF2-40B4-BE49-F238E27FC236}">
                  <a16:creationId xmlns:a16="http://schemas.microsoft.com/office/drawing/2014/main" id="{00000000-0008-0000-0300-0000DE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14</xdr:col>
          <xdr:colOff>0</xdr:colOff>
          <xdr:row>0</xdr:row>
          <xdr:rowOff>0</xdr:rowOff>
        </xdr:from>
        <xdr:to>
          <xdr:col>15</xdr:col>
          <xdr:colOff>363855</xdr:colOff>
          <xdr:row>1</xdr:row>
          <xdr:rowOff>20955</xdr:rowOff>
        </xdr:to>
        <xdr:sp macro="" textlink="">
          <xdr:nvSpPr>
            <xdr:cNvPr id="4320" name="stLilaAnAus" hidden="1">
              <a:extLst>
                <a:ext uri="{63B3BB69-23CF-44E3-9099-C40C66FF867C}">
                  <a14:compatExt spid="_x0000_s4320"/>
                </a:ext>
                <a:ext uri="{FF2B5EF4-FFF2-40B4-BE49-F238E27FC236}">
                  <a16:creationId xmlns:a16="http://schemas.microsoft.com/office/drawing/2014/main" id="{00000000-0008-0000-0300-0000E0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editierbare Zellen farbig an/aus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18</xdr:row>
          <xdr:rowOff>0</xdr:rowOff>
        </xdr:from>
        <xdr:to>
          <xdr:col>11</xdr:col>
          <xdr:colOff>0</xdr:colOff>
          <xdr:row>19</xdr:row>
          <xdr:rowOff>15240</xdr:rowOff>
        </xdr:to>
        <xdr:sp macro="" textlink="">
          <xdr:nvSpPr>
            <xdr:cNvPr id="4332" name="Button 236" hidden="1">
              <a:extLst>
                <a:ext uri="{63B3BB69-23CF-44E3-9099-C40C66FF867C}">
                  <a14:compatExt spid="_x0000_s4332"/>
                </a:ext>
                <a:ext uri="{FF2B5EF4-FFF2-40B4-BE49-F238E27FC236}">
                  <a16:creationId xmlns:a16="http://schemas.microsoft.com/office/drawing/2014/main" id="{00000000-0008-0000-0300-0000EC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35</xdr:row>
          <xdr:rowOff>0</xdr:rowOff>
        </xdr:from>
        <xdr:to>
          <xdr:col>11</xdr:col>
          <xdr:colOff>0</xdr:colOff>
          <xdr:row>36</xdr:row>
          <xdr:rowOff>15240</xdr:rowOff>
        </xdr:to>
        <xdr:sp macro="" textlink="">
          <xdr:nvSpPr>
            <xdr:cNvPr id="4333" name="Button 237" hidden="1">
              <a:extLst>
                <a:ext uri="{63B3BB69-23CF-44E3-9099-C40C66FF867C}">
                  <a14:compatExt spid="_x0000_s4333"/>
                </a:ext>
                <a:ext uri="{FF2B5EF4-FFF2-40B4-BE49-F238E27FC236}">
                  <a16:creationId xmlns:a16="http://schemas.microsoft.com/office/drawing/2014/main" id="{00000000-0008-0000-0300-0000ED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57</xdr:row>
          <xdr:rowOff>0</xdr:rowOff>
        </xdr:from>
        <xdr:to>
          <xdr:col>11</xdr:col>
          <xdr:colOff>0</xdr:colOff>
          <xdr:row>58</xdr:row>
          <xdr:rowOff>15240</xdr:rowOff>
        </xdr:to>
        <xdr:sp macro="" textlink="">
          <xdr:nvSpPr>
            <xdr:cNvPr id="4334" name="Button 238" hidden="1">
              <a:extLst>
                <a:ext uri="{63B3BB69-23CF-44E3-9099-C40C66FF867C}">
                  <a14:compatExt spid="_x0000_s4334"/>
                </a:ext>
                <a:ext uri="{FF2B5EF4-FFF2-40B4-BE49-F238E27FC236}">
                  <a16:creationId xmlns:a16="http://schemas.microsoft.com/office/drawing/2014/main" id="{00000000-0008-0000-0300-0000EE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79</xdr:row>
          <xdr:rowOff>0</xdr:rowOff>
        </xdr:from>
        <xdr:to>
          <xdr:col>11</xdr:col>
          <xdr:colOff>0</xdr:colOff>
          <xdr:row>80</xdr:row>
          <xdr:rowOff>15240</xdr:rowOff>
        </xdr:to>
        <xdr:sp macro="" textlink="">
          <xdr:nvSpPr>
            <xdr:cNvPr id="4335" name="Button 239" hidden="1">
              <a:extLst>
                <a:ext uri="{63B3BB69-23CF-44E3-9099-C40C66FF867C}">
                  <a14:compatExt spid="_x0000_s4335"/>
                </a:ext>
                <a:ext uri="{FF2B5EF4-FFF2-40B4-BE49-F238E27FC236}">
                  <a16:creationId xmlns:a16="http://schemas.microsoft.com/office/drawing/2014/main" id="{00000000-0008-0000-0300-0000EF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101</xdr:row>
          <xdr:rowOff>0</xdr:rowOff>
        </xdr:from>
        <xdr:to>
          <xdr:col>11</xdr:col>
          <xdr:colOff>0</xdr:colOff>
          <xdr:row>102</xdr:row>
          <xdr:rowOff>15240</xdr:rowOff>
        </xdr:to>
        <xdr:sp macro="" textlink="">
          <xdr:nvSpPr>
            <xdr:cNvPr id="4336" name="Button 240" hidden="1">
              <a:extLst>
                <a:ext uri="{63B3BB69-23CF-44E3-9099-C40C66FF867C}">
                  <a14:compatExt spid="_x0000_s4336"/>
                </a:ext>
                <a:ext uri="{FF2B5EF4-FFF2-40B4-BE49-F238E27FC236}">
                  <a16:creationId xmlns:a16="http://schemas.microsoft.com/office/drawing/2014/main" id="{00000000-0008-0000-0300-0000F0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123</xdr:row>
          <xdr:rowOff>0</xdr:rowOff>
        </xdr:from>
        <xdr:to>
          <xdr:col>11</xdr:col>
          <xdr:colOff>0</xdr:colOff>
          <xdr:row>124</xdr:row>
          <xdr:rowOff>15240</xdr:rowOff>
        </xdr:to>
        <xdr:sp macro="" textlink="">
          <xdr:nvSpPr>
            <xdr:cNvPr id="4337" name="Button 241" hidden="1">
              <a:extLst>
                <a:ext uri="{63B3BB69-23CF-44E3-9099-C40C66FF867C}">
                  <a14:compatExt spid="_x0000_s4337"/>
                </a:ext>
                <a:ext uri="{FF2B5EF4-FFF2-40B4-BE49-F238E27FC236}">
                  <a16:creationId xmlns:a16="http://schemas.microsoft.com/office/drawing/2014/main" id="{00000000-0008-0000-0300-0000F1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145</xdr:row>
          <xdr:rowOff>0</xdr:rowOff>
        </xdr:from>
        <xdr:to>
          <xdr:col>11</xdr:col>
          <xdr:colOff>0</xdr:colOff>
          <xdr:row>166</xdr:row>
          <xdr:rowOff>15240</xdr:rowOff>
        </xdr:to>
        <xdr:sp macro="" textlink="">
          <xdr:nvSpPr>
            <xdr:cNvPr id="4338" name="Button 242" hidden="1">
              <a:extLst>
                <a:ext uri="{63B3BB69-23CF-44E3-9099-C40C66FF867C}">
                  <a14:compatExt spid="_x0000_s4338"/>
                </a:ext>
                <a:ext uri="{FF2B5EF4-FFF2-40B4-BE49-F238E27FC236}">
                  <a16:creationId xmlns:a16="http://schemas.microsoft.com/office/drawing/2014/main" id="{00000000-0008-0000-0300-0000F2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167</xdr:row>
          <xdr:rowOff>0</xdr:rowOff>
        </xdr:from>
        <xdr:to>
          <xdr:col>11</xdr:col>
          <xdr:colOff>0</xdr:colOff>
          <xdr:row>188</xdr:row>
          <xdr:rowOff>15240</xdr:rowOff>
        </xdr:to>
        <xdr:sp macro="" textlink="">
          <xdr:nvSpPr>
            <xdr:cNvPr id="4339" name="Button 243" hidden="1">
              <a:extLst>
                <a:ext uri="{63B3BB69-23CF-44E3-9099-C40C66FF867C}">
                  <a14:compatExt spid="_x0000_s4339"/>
                </a:ext>
                <a:ext uri="{FF2B5EF4-FFF2-40B4-BE49-F238E27FC236}">
                  <a16:creationId xmlns:a16="http://schemas.microsoft.com/office/drawing/2014/main" id="{00000000-0008-0000-0300-0000F3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189</xdr:row>
          <xdr:rowOff>0</xdr:rowOff>
        </xdr:from>
        <xdr:to>
          <xdr:col>11</xdr:col>
          <xdr:colOff>0</xdr:colOff>
          <xdr:row>210</xdr:row>
          <xdr:rowOff>15240</xdr:rowOff>
        </xdr:to>
        <xdr:sp macro="" textlink="">
          <xdr:nvSpPr>
            <xdr:cNvPr id="4340" name="Button 244" hidden="1">
              <a:extLst>
                <a:ext uri="{63B3BB69-23CF-44E3-9099-C40C66FF867C}">
                  <a14:compatExt spid="_x0000_s4340"/>
                </a:ext>
                <a:ext uri="{FF2B5EF4-FFF2-40B4-BE49-F238E27FC236}">
                  <a16:creationId xmlns:a16="http://schemas.microsoft.com/office/drawing/2014/main" id="{00000000-0008-0000-0300-0000F4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211</xdr:row>
          <xdr:rowOff>0</xdr:rowOff>
        </xdr:from>
        <xdr:to>
          <xdr:col>11</xdr:col>
          <xdr:colOff>0</xdr:colOff>
          <xdr:row>232</xdr:row>
          <xdr:rowOff>15240</xdr:rowOff>
        </xdr:to>
        <xdr:sp macro="" textlink="">
          <xdr:nvSpPr>
            <xdr:cNvPr id="4341" name="Button 245" hidden="1">
              <a:extLst>
                <a:ext uri="{63B3BB69-23CF-44E3-9099-C40C66FF867C}">
                  <a14:compatExt spid="_x0000_s4341"/>
                </a:ext>
                <a:ext uri="{FF2B5EF4-FFF2-40B4-BE49-F238E27FC236}">
                  <a16:creationId xmlns:a16="http://schemas.microsoft.com/office/drawing/2014/main" id="{00000000-0008-0000-0300-0000F5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233</xdr:row>
          <xdr:rowOff>0</xdr:rowOff>
        </xdr:from>
        <xdr:to>
          <xdr:col>11</xdr:col>
          <xdr:colOff>0</xdr:colOff>
          <xdr:row>254</xdr:row>
          <xdr:rowOff>15240</xdr:rowOff>
        </xdr:to>
        <xdr:sp macro="" textlink="">
          <xdr:nvSpPr>
            <xdr:cNvPr id="4342" name="Button 246" hidden="1">
              <a:extLst>
                <a:ext uri="{63B3BB69-23CF-44E3-9099-C40C66FF867C}">
                  <a14:compatExt spid="_x0000_s4342"/>
                </a:ext>
                <a:ext uri="{FF2B5EF4-FFF2-40B4-BE49-F238E27FC236}">
                  <a16:creationId xmlns:a16="http://schemas.microsoft.com/office/drawing/2014/main" id="{00000000-0008-0000-0300-0000F6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14</xdr:col>
          <xdr:colOff>0</xdr:colOff>
          <xdr:row>1</xdr:row>
          <xdr:rowOff>95250</xdr:rowOff>
        </xdr:from>
        <xdr:to>
          <xdr:col>15</xdr:col>
          <xdr:colOff>363855</xdr:colOff>
          <xdr:row>2</xdr:row>
          <xdr:rowOff>114300</xdr:rowOff>
        </xdr:to>
        <xdr:sp macro="" textlink="">
          <xdr:nvSpPr>
            <xdr:cNvPr id="4345" name="Button 249" hidden="1">
              <a:extLst>
                <a:ext uri="{63B3BB69-23CF-44E3-9099-C40C66FF867C}">
                  <a14:compatExt spid="_x0000_s4345"/>
                </a:ext>
                <a:ext uri="{FF2B5EF4-FFF2-40B4-BE49-F238E27FC236}">
                  <a16:creationId xmlns:a16="http://schemas.microsoft.com/office/drawing/2014/main" id="{00000000-0008-0000-0300-0000F9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Zeilenhöhen manuell anpassen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22860</xdr:colOff>
          <xdr:row>1</xdr:row>
          <xdr:rowOff>30480</xdr:rowOff>
        </xdr:from>
        <xdr:to>
          <xdr:col>17</xdr:col>
          <xdr:colOff>0</xdr:colOff>
          <xdr:row>2</xdr:row>
          <xdr:rowOff>57150</xdr:rowOff>
        </xdr:to>
        <xdr:sp macro="" textlink="">
          <xdr:nvSpPr>
            <xdr:cNvPr id="4355" name="Button 259" hidden="1">
              <a:extLst>
                <a:ext uri="{63B3BB69-23CF-44E3-9099-C40C66FF867C}">
                  <a14:compatExt spid="_x0000_s4355"/>
                </a:ext>
                <a:ext uri="{FF2B5EF4-FFF2-40B4-BE49-F238E27FC236}">
                  <a16:creationId xmlns:a16="http://schemas.microsoft.com/office/drawing/2014/main" id="{00000000-0008-0000-0300-00000311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7620</xdr:colOff>
          <xdr:row>102</xdr:row>
          <xdr:rowOff>152400</xdr:rowOff>
        </xdr:from>
        <xdr:to>
          <xdr:col>13</xdr:col>
          <xdr:colOff>518160</xdr:colOff>
          <xdr:row>103</xdr:row>
          <xdr:rowOff>175260</xdr:rowOff>
        </xdr:to>
        <xdr:sp macro="" textlink="">
          <xdr:nvSpPr>
            <xdr:cNvPr id="4360" name="Button 264" hidden="1">
              <a:extLst>
                <a:ext uri="{63B3BB69-23CF-44E3-9099-C40C66FF867C}">
                  <a14:compatExt spid="_x0000_s4360"/>
                </a:ext>
                <a:ext uri="{FF2B5EF4-FFF2-40B4-BE49-F238E27FC236}">
                  <a16:creationId xmlns:a16="http://schemas.microsoft.com/office/drawing/2014/main" id="{00000000-0008-0000-0300-00000811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101</xdr:row>
          <xdr:rowOff>0</xdr:rowOff>
        </xdr:from>
        <xdr:to>
          <xdr:col>11</xdr:col>
          <xdr:colOff>0</xdr:colOff>
          <xdr:row>102</xdr:row>
          <xdr:rowOff>15240</xdr:rowOff>
        </xdr:to>
        <xdr:sp macro="" textlink="">
          <xdr:nvSpPr>
            <xdr:cNvPr id="4361" name="Button 265" hidden="1">
              <a:extLst>
                <a:ext uri="{63B3BB69-23CF-44E3-9099-C40C66FF867C}">
                  <a14:compatExt spid="_x0000_s4361"/>
                </a:ext>
                <a:ext uri="{FF2B5EF4-FFF2-40B4-BE49-F238E27FC236}">
                  <a16:creationId xmlns:a16="http://schemas.microsoft.com/office/drawing/2014/main" id="{00000000-0008-0000-0300-00000911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absolute">
    <xdr:from>
      <xdr:col>10</xdr:col>
      <xdr:colOff>95248</xdr:colOff>
      <xdr:row>3</xdr:row>
      <xdr:rowOff>16511</xdr:rowOff>
    </xdr:from>
    <xdr:to>
      <xdr:col>20</xdr:col>
      <xdr:colOff>171450</xdr:colOff>
      <xdr:row>6</xdr:row>
      <xdr:rowOff>171450</xdr:rowOff>
    </xdr:to>
    <xdr:sp macro="" textlink="">
      <xdr:nvSpPr>
        <xdr:cNvPr id="12" name="Textfeld 11">
          <a:extLst>
            <a:ext uri="{FF2B5EF4-FFF2-40B4-BE49-F238E27FC236}">
              <a16:creationId xmlns:a16="http://schemas.microsoft.com/office/drawing/2014/main" id="{00000000-0008-0000-0400-00000C000000}"/>
            </a:ext>
          </a:extLst>
        </xdr:cNvPr>
        <xdr:cNvSpPr txBox="1"/>
      </xdr:nvSpPr>
      <xdr:spPr>
        <a:xfrm>
          <a:off x="7475218" y="534671"/>
          <a:ext cx="6652262" cy="867409"/>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de-DE" sz="1000" b="1"/>
            <a:t>Syntax für die Berechnungsvorschrift der Geometrieermittlung</a:t>
          </a:r>
        </a:p>
        <a:p>
          <a:r>
            <a:rPr lang="de-DE" sz="1000"/>
            <a:t>- Es können die üblichen Operatoren verwendet werden, d.h. "+" "-" "*" "/" "(" ")", sowie "^" für Potenzen.</a:t>
          </a:r>
        </a:p>
        <a:p>
          <a:r>
            <a:rPr lang="de-DE" sz="1000"/>
            <a:t>- Leerzeichen und neue Zeile (Alt+Enter) werden ignoriert, nicht interpretierbarer Text führt zu dem</a:t>
          </a:r>
          <a:r>
            <a:rPr lang="de-DE" sz="1000">
              <a:solidFill>
                <a:schemeClr val="dk1"/>
              </a:solidFill>
              <a:effectLst/>
              <a:latin typeface="+mn-lt"/>
              <a:ea typeface="+mn-ea"/>
              <a:cs typeface="+mn-cs"/>
            </a:rPr>
            <a:t> Ergebnis 0.</a:t>
          </a:r>
          <a:endParaRPr lang="de-DE" sz="1000"/>
        </a:p>
        <a:p>
          <a:r>
            <a:rPr lang="de-DE" sz="1000"/>
            <a:t>- Tabellenblattfunktionen können unter Beachtung der Excel-Schreibweise verwendet werden,   z.B. cos(60*Pi()/180) = 0,5. </a:t>
          </a:r>
        </a:p>
        <a:p>
          <a:r>
            <a:rPr lang="de-DE" sz="1000" u="sng"/>
            <a:t>Hinweis</a:t>
          </a:r>
          <a:r>
            <a:rPr lang="de-DE" sz="1000"/>
            <a:t>: Umrechnung der Winkel in Bogenmass notwendig.</a:t>
          </a:r>
        </a:p>
      </xdr:txBody>
    </xdr:sp>
    <xdr:clientData fPrintsWithSheet="0"/>
  </xdr:twoCellAnchor>
  <mc:AlternateContent xmlns:mc="http://schemas.openxmlformats.org/markup-compatibility/2006">
    <mc:Choice xmlns:a14="http://schemas.microsoft.com/office/drawing/2010/main" Requires="a14">
      <xdr:twoCellAnchor editAs="absolute">
        <xdr:from>
          <xdr:col>12</xdr:col>
          <xdr:colOff>1356360</xdr:colOff>
          <xdr:row>0</xdr:row>
          <xdr:rowOff>0</xdr:rowOff>
        </xdr:from>
        <xdr:to>
          <xdr:col>15</xdr:col>
          <xdr:colOff>22860</xdr:colOff>
          <xdr:row>1</xdr:row>
          <xdr:rowOff>45720</xdr:rowOff>
        </xdr:to>
        <xdr:sp macro="" textlink="">
          <xdr:nvSpPr>
            <xdr:cNvPr id="94209" name="stLilaAnAus" hidden="1">
              <a:extLst>
                <a:ext uri="{63B3BB69-23CF-44E3-9099-C40C66FF867C}">
                  <a14:compatExt spid="_x0000_s94209"/>
                </a:ext>
                <a:ext uri="{FF2B5EF4-FFF2-40B4-BE49-F238E27FC236}">
                  <a16:creationId xmlns:a16="http://schemas.microsoft.com/office/drawing/2014/main" id="{00000000-0008-0000-0400-0000017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editierbare Zellen farbig an/aus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0</xdr:row>
          <xdr:rowOff>0</xdr:rowOff>
        </xdr:from>
        <xdr:to>
          <xdr:col>9</xdr:col>
          <xdr:colOff>22860</xdr:colOff>
          <xdr:row>1</xdr:row>
          <xdr:rowOff>22860</xdr:rowOff>
        </xdr:to>
        <xdr:sp macro="" textlink="">
          <xdr:nvSpPr>
            <xdr:cNvPr id="94211" name="Button 3" hidden="1">
              <a:extLst>
                <a:ext uri="{63B3BB69-23CF-44E3-9099-C40C66FF867C}">
                  <a14:compatExt spid="_x0000_s94211"/>
                </a:ext>
                <a:ext uri="{FF2B5EF4-FFF2-40B4-BE49-F238E27FC236}">
                  <a16:creationId xmlns:a16="http://schemas.microsoft.com/office/drawing/2014/main" id="{00000000-0008-0000-0400-000003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10</xdr:row>
          <xdr:rowOff>7620</xdr:rowOff>
        </xdr:from>
        <xdr:to>
          <xdr:col>9</xdr:col>
          <xdr:colOff>22860</xdr:colOff>
          <xdr:row>11</xdr:row>
          <xdr:rowOff>30480</xdr:rowOff>
        </xdr:to>
        <xdr:sp macro="" textlink="">
          <xdr:nvSpPr>
            <xdr:cNvPr id="94212" name="Button 4" hidden="1">
              <a:extLst>
                <a:ext uri="{63B3BB69-23CF-44E3-9099-C40C66FF867C}">
                  <a14:compatExt spid="_x0000_s94212"/>
                </a:ext>
                <a:ext uri="{FF2B5EF4-FFF2-40B4-BE49-F238E27FC236}">
                  <a16:creationId xmlns:a16="http://schemas.microsoft.com/office/drawing/2014/main" id="{00000000-0008-0000-0400-000004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24</xdr:row>
          <xdr:rowOff>7620</xdr:rowOff>
        </xdr:from>
        <xdr:to>
          <xdr:col>9</xdr:col>
          <xdr:colOff>22860</xdr:colOff>
          <xdr:row>25</xdr:row>
          <xdr:rowOff>30480</xdr:rowOff>
        </xdr:to>
        <xdr:sp macro="" textlink="">
          <xdr:nvSpPr>
            <xdr:cNvPr id="94213" name="Button 5" hidden="1">
              <a:extLst>
                <a:ext uri="{63B3BB69-23CF-44E3-9099-C40C66FF867C}">
                  <a14:compatExt spid="_x0000_s94213"/>
                </a:ext>
                <a:ext uri="{FF2B5EF4-FFF2-40B4-BE49-F238E27FC236}">
                  <a16:creationId xmlns:a16="http://schemas.microsoft.com/office/drawing/2014/main" id="{00000000-0008-0000-0400-000005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32</xdr:row>
          <xdr:rowOff>7620</xdr:rowOff>
        </xdr:from>
        <xdr:to>
          <xdr:col>9</xdr:col>
          <xdr:colOff>22860</xdr:colOff>
          <xdr:row>33</xdr:row>
          <xdr:rowOff>30480</xdr:rowOff>
        </xdr:to>
        <xdr:sp macro="" textlink="">
          <xdr:nvSpPr>
            <xdr:cNvPr id="94214" name="Button 6" hidden="1">
              <a:extLst>
                <a:ext uri="{63B3BB69-23CF-44E3-9099-C40C66FF867C}">
                  <a14:compatExt spid="_x0000_s94214"/>
                </a:ext>
                <a:ext uri="{FF2B5EF4-FFF2-40B4-BE49-F238E27FC236}">
                  <a16:creationId xmlns:a16="http://schemas.microsoft.com/office/drawing/2014/main" id="{00000000-0008-0000-0400-000006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36</xdr:row>
          <xdr:rowOff>7620</xdr:rowOff>
        </xdr:from>
        <xdr:to>
          <xdr:col>9</xdr:col>
          <xdr:colOff>22860</xdr:colOff>
          <xdr:row>37</xdr:row>
          <xdr:rowOff>30480</xdr:rowOff>
        </xdr:to>
        <xdr:sp macro="" textlink="">
          <xdr:nvSpPr>
            <xdr:cNvPr id="94215" name="Button 7" hidden="1">
              <a:extLst>
                <a:ext uri="{63B3BB69-23CF-44E3-9099-C40C66FF867C}">
                  <a14:compatExt spid="_x0000_s94215"/>
                </a:ext>
                <a:ext uri="{FF2B5EF4-FFF2-40B4-BE49-F238E27FC236}">
                  <a16:creationId xmlns:a16="http://schemas.microsoft.com/office/drawing/2014/main" id="{00000000-0008-0000-0400-000007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46</xdr:row>
          <xdr:rowOff>7620</xdr:rowOff>
        </xdr:from>
        <xdr:to>
          <xdr:col>9</xdr:col>
          <xdr:colOff>22860</xdr:colOff>
          <xdr:row>47</xdr:row>
          <xdr:rowOff>30480</xdr:rowOff>
        </xdr:to>
        <xdr:sp macro="" textlink="">
          <xdr:nvSpPr>
            <xdr:cNvPr id="94216" name="Button 8" hidden="1">
              <a:extLst>
                <a:ext uri="{63B3BB69-23CF-44E3-9099-C40C66FF867C}">
                  <a14:compatExt spid="_x0000_s94216"/>
                </a:ext>
                <a:ext uri="{FF2B5EF4-FFF2-40B4-BE49-F238E27FC236}">
                  <a16:creationId xmlns:a16="http://schemas.microsoft.com/office/drawing/2014/main" id="{00000000-0008-0000-0400-000008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52</xdr:row>
          <xdr:rowOff>7620</xdr:rowOff>
        </xdr:from>
        <xdr:to>
          <xdr:col>9</xdr:col>
          <xdr:colOff>22860</xdr:colOff>
          <xdr:row>53</xdr:row>
          <xdr:rowOff>30480</xdr:rowOff>
        </xdr:to>
        <xdr:sp macro="" textlink="">
          <xdr:nvSpPr>
            <xdr:cNvPr id="94217" name="Button 9" hidden="1">
              <a:extLst>
                <a:ext uri="{63B3BB69-23CF-44E3-9099-C40C66FF867C}">
                  <a14:compatExt spid="_x0000_s94217"/>
                </a:ext>
                <a:ext uri="{FF2B5EF4-FFF2-40B4-BE49-F238E27FC236}">
                  <a16:creationId xmlns:a16="http://schemas.microsoft.com/office/drawing/2014/main" id="{00000000-0008-0000-0400-000009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57</xdr:row>
          <xdr:rowOff>7620</xdr:rowOff>
        </xdr:from>
        <xdr:to>
          <xdr:col>9</xdr:col>
          <xdr:colOff>22860</xdr:colOff>
          <xdr:row>58</xdr:row>
          <xdr:rowOff>30480</xdr:rowOff>
        </xdr:to>
        <xdr:sp macro="" textlink="">
          <xdr:nvSpPr>
            <xdr:cNvPr id="94218" name="Button 10" hidden="1">
              <a:extLst>
                <a:ext uri="{63B3BB69-23CF-44E3-9099-C40C66FF867C}">
                  <a14:compatExt spid="_x0000_s94218"/>
                </a:ext>
                <a:ext uri="{FF2B5EF4-FFF2-40B4-BE49-F238E27FC236}">
                  <a16:creationId xmlns:a16="http://schemas.microsoft.com/office/drawing/2014/main" id="{00000000-0008-0000-0400-00000A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62</xdr:row>
          <xdr:rowOff>7620</xdr:rowOff>
        </xdr:from>
        <xdr:to>
          <xdr:col>9</xdr:col>
          <xdr:colOff>22860</xdr:colOff>
          <xdr:row>63</xdr:row>
          <xdr:rowOff>30480</xdr:rowOff>
        </xdr:to>
        <xdr:sp macro="" textlink="">
          <xdr:nvSpPr>
            <xdr:cNvPr id="94219" name="Button 11" hidden="1">
              <a:extLst>
                <a:ext uri="{63B3BB69-23CF-44E3-9099-C40C66FF867C}">
                  <a14:compatExt spid="_x0000_s94219"/>
                </a:ext>
                <a:ext uri="{FF2B5EF4-FFF2-40B4-BE49-F238E27FC236}">
                  <a16:creationId xmlns:a16="http://schemas.microsoft.com/office/drawing/2014/main" id="{00000000-0008-0000-0400-00000B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69</xdr:row>
          <xdr:rowOff>7620</xdr:rowOff>
        </xdr:from>
        <xdr:to>
          <xdr:col>9</xdr:col>
          <xdr:colOff>22860</xdr:colOff>
          <xdr:row>70</xdr:row>
          <xdr:rowOff>30480</xdr:rowOff>
        </xdr:to>
        <xdr:sp macro="" textlink="">
          <xdr:nvSpPr>
            <xdr:cNvPr id="94220" name="Button 12" hidden="1">
              <a:extLst>
                <a:ext uri="{63B3BB69-23CF-44E3-9099-C40C66FF867C}">
                  <a14:compatExt spid="_x0000_s94220"/>
                </a:ext>
                <a:ext uri="{FF2B5EF4-FFF2-40B4-BE49-F238E27FC236}">
                  <a16:creationId xmlns:a16="http://schemas.microsoft.com/office/drawing/2014/main" id="{00000000-0008-0000-0400-00000C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80</xdr:row>
          <xdr:rowOff>7620</xdr:rowOff>
        </xdr:from>
        <xdr:to>
          <xdr:col>9</xdr:col>
          <xdr:colOff>22860</xdr:colOff>
          <xdr:row>81</xdr:row>
          <xdr:rowOff>30480</xdr:rowOff>
        </xdr:to>
        <xdr:sp macro="" textlink="">
          <xdr:nvSpPr>
            <xdr:cNvPr id="94221" name="Button 13" hidden="1">
              <a:extLst>
                <a:ext uri="{63B3BB69-23CF-44E3-9099-C40C66FF867C}">
                  <a14:compatExt spid="_x0000_s94221"/>
                </a:ext>
                <a:ext uri="{FF2B5EF4-FFF2-40B4-BE49-F238E27FC236}">
                  <a16:creationId xmlns:a16="http://schemas.microsoft.com/office/drawing/2014/main" id="{00000000-0008-0000-0400-00000D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84</xdr:row>
          <xdr:rowOff>7620</xdr:rowOff>
        </xdr:from>
        <xdr:to>
          <xdr:col>9</xdr:col>
          <xdr:colOff>22860</xdr:colOff>
          <xdr:row>85</xdr:row>
          <xdr:rowOff>30480</xdr:rowOff>
        </xdr:to>
        <xdr:sp macro="" textlink="">
          <xdr:nvSpPr>
            <xdr:cNvPr id="94222" name="Button 14" hidden="1">
              <a:extLst>
                <a:ext uri="{63B3BB69-23CF-44E3-9099-C40C66FF867C}">
                  <a14:compatExt spid="_x0000_s94222"/>
                </a:ext>
                <a:ext uri="{FF2B5EF4-FFF2-40B4-BE49-F238E27FC236}">
                  <a16:creationId xmlns:a16="http://schemas.microsoft.com/office/drawing/2014/main" id="{00000000-0008-0000-0400-00000E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1356360</xdr:colOff>
          <xdr:row>1</xdr:row>
          <xdr:rowOff>83820</xdr:rowOff>
        </xdr:from>
        <xdr:to>
          <xdr:col>15</xdr:col>
          <xdr:colOff>22860</xdr:colOff>
          <xdr:row>2</xdr:row>
          <xdr:rowOff>114300</xdr:rowOff>
        </xdr:to>
        <xdr:sp macro="" textlink="">
          <xdr:nvSpPr>
            <xdr:cNvPr id="94224" name="Button 16" hidden="1">
              <a:extLst>
                <a:ext uri="{63B3BB69-23CF-44E3-9099-C40C66FF867C}">
                  <a14:compatExt spid="_x0000_s94224"/>
                </a:ext>
                <a:ext uri="{FF2B5EF4-FFF2-40B4-BE49-F238E27FC236}">
                  <a16:creationId xmlns:a16="http://schemas.microsoft.com/office/drawing/2014/main" id="{00000000-0008-0000-0400-0000107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Zeilenhöhen manuell anpassen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152400</xdr:colOff>
          <xdr:row>0</xdr:row>
          <xdr:rowOff>0</xdr:rowOff>
        </xdr:from>
        <xdr:to>
          <xdr:col>18</xdr:col>
          <xdr:colOff>213360</xdr:colOff>
          <xdr:row>1</xdr:row>
          <xdr:rowOff>38100</xdr:rowOff>
        </xdr:to>
        <xdr:sp macro="" textlink="">
          <xdr:nvSpPr>
            <xdr:cNvPr id="94227" name="Button 19" hidden="1">
              <a:extLst>
                <a:ext uri="{63B3BB69-23CF-44E3-9099-C40C66FF867C}">
                  <a14:compatExt spid="_x0000_s94227"/>
                </a:ext>
                <a:ext uri="{FF2B5EF4-FFF2-40B4-BE49-F238E27FC236}">
                  <a16:creationId xmlns:a16="http://schemas.microsoft.com/office/drawing/2014/main" id="{00000000-0008-0000-0400-0000137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alle Einträge löschen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-742950</xdr:colOff>
      <xdr:row>0</xdr:row>
      <xdr:rowOff>-152400</xdr:rowOff>
    </xdr:from>
    <xdr:to>
      <xdr:col>0</xdr:col>
      <xdr:colOff>-742816</xdr:colOff>
      <xdr:row>0</xdr:row>
      <xdr:rowOff>-152387</xdr:rowOff>
    </xdr:to>
    <xdr:grpSp>
      <xdr:nvGrpSpPr>
        <xdr:cNvPr id="2" name="Gruppieren 1">
          <a:extLst>
            <a:ext uri="{FF2B5EF4-FFF2-40B4-BE49-F238E27FC236}">
              <a16:creationId xmlns:a16="http://schemas.microsoft.com/office/drawing/2014/main" id="{00000000-0008-0000-0500-000002000000}"/>
            </a:ext>
          </a:extLst>
        </xdr:cNvPr>
        <xdr:cNvGrpSpPr/>
      </xdr:nvGrpSpPr>
      <xdr:grpSpPr>
        <a:xfrm>
          <a:off x="-739140" y="-152400"/>
          <a:ext cx="0" cy="13"/>
          <a:chOff x="0" y="0"/>
          <a:chExt cx="134" cy="13"/>
        </a:xfrm>
      </xdr:grpSpPr>
      <xdr:sp macro="" textlink="">
        <xdr:nvSpPr>
          <xdr:cNvPr id="3" name="Line 116">
            <a:extLst>
              <a:ext uri="{FF2B5EF4-FFF2-40B4-BE49-F238E27FC236}">
                <a16:creationId xmlns:a16="http://schemas.microsoft.com/office/drawing/2014/main" id="{00000000-0008-0000-0500-000003000000}"/>
              </a:ext>
            </a:extLst>
          </xdr:cNvPr>
          <xdr:cNvSpPr>
            <a:spLocks noChangeShapeType="1"/>
          </xdr:cNvSpPr>
        </xdr:nvSpPr>
        <xdr:spPr bwMode="auto">
          <a:xfrm flipH="1">
            <a:off x="0" y="0"/>
            <a:ext cx="66" cy="13"/>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sp macro="" textlink="">
        <xdr:nvSpPr>
          <xdr:cNvPr id="4" name="Line 117">
            <a:extLst>
              <a:ext uri="{FF2B5EF4-FFF2-40B4-BE49-F238E27FC236}">
                <a16:creationId xmlns:a16="http://schemas.microsoft.com/office/drawing/2014/main" id="{00000000-0008-0000-0500-000004000000}"/>
              </a:ext>
            </a:extLst>
          </xdr:cNvPr>
          <xdr:cNvSpPr>
            <a:spLocks noChangeShapeType="1"/>
          </xdr:cNvSpPr>
        </xdr:nvSpPr>
        <xdr:spPr bwMode="auto">
          <a:xfrm>
            <a:off x="67" y="0"/>
            <a:ext cx="67" cy="13"/>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sp macro="" textlink="">
        <xdr:nvSpPr>
          <xdr:cNvPr id="5" name="Line 118">
            <a:extLst>
              <a:ext uri="{FF2B5EF4-FFF2-40B4-BE49-F238E27FC236}">
                <a16:creationId xmlns:a16="http://schemas.microsoft.com/office/drawing/2014/main" id="{00000000-0008-0000-0500-000005000000}"/>
              </a:ext>
            </a:extLst>
          </xdr:cNvPr>
          <xdr:cNvSpPr>
            <a:spLocks noChangeShapeType="1"/>
          </xdr:cNvSpPr>
        </xdr:nvSpPr>
        <xdr:spPr bwMode="auto">
          <a:xfrm>
            <a:off x="67" y="0"/>
            <a:ext cx="0" cy="13"/>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grpSp>
    <xdr:clientData/>
  </xdr:twoCellAnchor>
  <xdr:twoCellAnchor>
    <xdr:from>
      <xdr:col>0</xdr:col>
      <xdr:colOff>-742950</xdr:colOff>
      <xdr:row>0</xdr:row>
      <xdr:rowOff>-152400</xdr:rowOff>
    </xdr:from>
    <xdr:to>
      <xdr:col>0</xdr:col>
      <xdr:colOff>-742950</xdr:colOff>
      <xdr:row>0</xdr:row>
      <xdr:rowOff>-152400</xdr:rowOff>
    </xdr:to>
    <xdr:grpSp>
      <xdr:nvGrpSpPr>
        <xdr:cNvPr id="6" name="Gruppieren 5">
          <a:extLst>
            <a:ext uri="{FF2B5EF4-FFF2-40B4-BE49-F238E27FC236}">
              <a16:creationId xmlns:a16="http://schemas.microsoft.com/office/drawing/2014/main" id="{00000000-0008-0000-0500-000006000000}"/>
            </a:ext>
          </a:extLst>
        </xdr:cNvPr>
        <xdr:cNvGrpSpPr/>
      </xdr:nvGrpSpPr>
      <xdr:grpSpPr>
        <a:xfrm>
          <a:off x="-739140" y="-152400"/>
          <a:ext cx="0" cy="0"/>
          <a:chOff x="-739140" y="-152400"/>
          <a:chExt cx="0" cy="0"/>
        </a:xfrm>
      </xdr:grpSpPr>
      <xdr:sp macro="" textlink="">
        <xdr:nvSpPr>
          <xdr:cNvPr id="7" name="Line 120">
            <a:extLst>
              <a:ext uri="{FF2B5EF4-FFF2-40B4-BE49-F238E27FC236}">
                <a16:creationId xmlns:a16="http://schemas.microsoft.com/office/drawing/2014/main" id="{00000000-0008-0000-0500-000007000000}"/>
              </a:ext>
            </a:extLst>
          </xdr:cNvPr>
          <xdr:cNvSpPr>
            <a:spLocks noChangeShapeType="1"/>
          </xdr:cNvSpPr>
        </xdr:nvSpPr>
        <xdr:spPr bwMode="auto">
          <a:xfrm>
            <a:off x="398" y="363"/>
            <a:ext cx="0" cy="25"/>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sp macro="" textlink="">
        <xdr:nvSpPr>
          <xdr:cNvPr id="8" name="Line 121">
            <a:extLst>
              <a:ext uri="{FF2B5EF4-FFF2-40B4-BE49-F238E27FC236}">
                <a16:creationId xmlns:a16="http://schemas.microsoft.com/office/drawing/2014/main" id="{00000000-0008-0000-0500-000008000000}"/>
              </a:ext>
            </a:extLst>
          </xdr:cNvPr>
          <xdr:cNvSpPr>
            <a:spLocks noChangeShapeType="1"/>
          </xdr:cNvSpPr>
        </xdr:nvSpPr>
        <xdr:spPr bwMode="auto">
          <a:xfrm>
            <a:off x="466" y="363"/>
            <a:ext cx="0" cy="25"/>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sp macro="" textlink="">
        <xdr:nvSpPr>
          <xdr:cNvPr id="9" name="Line 122">
            <a:extLst>
              <a:ext uri="{FF2B5EF4-FFF2-40B4-BE49-F238E27FC236}">
                <a16:creationId xmlns:a16="http://schemas.microsoft.com/office/drawing/2014/main" id="{00000000-0008-0000-0500-000009000000}"/>
              </a:ext>
            </a:extLst>
          </xdr:cNvPr>
          <xdr:cNvSpPr>
            <a:spLocks noChangeShapeType="1"/>
          </xdr:cNvSpPr>
        </xdr:nvSpPr>
        <xdr:spPr bwMode="auto">
          <a:xfrm>
            <a:off x="534" y="363"/>
            <a:ext cx="0" cy="25"/>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grpSp>
    <xdr:clientData/>
  </xdr:twoCellAnchor>
  <xdr:twoCellAnchor>
    <xdr:from>
      <xdr:col>0</xdr:col>
      <xdr:colOff>-742950</xdr:colOff>
      <xdr:row>0</xdr:row>
      <xdr:rowOff>0</xdr:rowOff>
    </xdr:from>
    <xdr:to>
      <xdr:col>0</xdr:col>
      <xdr:colOff>-742816</xdr:colOff>
      <xdr:row>0</xdr:row>
      <xdr:rowOff>23</xdr:rowOff>
    </xdr:to>
    <xdr:grpSp>
      <xdr:nvGrpSpPr>
        <xdr:cNvPr id="10" name="Gruppieren 9">
          <a:extLst>
            <a:ext uri="{FF2B5EF4-FFF2-40B4-BE49-F238E27FC236}">
              <a16:creationId xmlns:a16="http://schemas.microsoft.com/office/drawing/2014/main" id="{00000000-0008-0000-0500-00000A000000}"/>
            </a:ext>
          </a:extLst>
        </xdr:cNvPr>
        <xdr:cNvGrpSpPr/>
      </xdr:nvGrpSpPr>
      <xdr:grpSpPr>
        <a:xfrm>
          <a:off x="-739140" y="0"/>
          <a:ext cx="0" cy="23"/>
          <a:chOff x="0" y="0"/>
          <a:chExt cx="134" cy="23"/>
        </a:xfrm>
      </xdr:grpSpPr>
      <xdr:sp macro="" textlink="">
        <xdr:nvSpPr>
          <xdr:cNvPr id="11" name="Line 124">
            <a:extLst>
              <a:ext uri="{FF2B5EF4-FFF2-40B4-BE49-F238E27FC236}">
                <a16:creationId xmlns:a16="http://schemas.microsoft.com/office/drawing/2014/main" id="{00000000-0008-0000-0500-00000B000000}"/>
              </a:ext>
            </a:extLst>
          </xdr:cNvPr>
          <xdr:cNvSpPr>
            <a:spLocks noChangeShapeType="1"/>
          </xdr:cNvSpPr>
        </xdr:nvSpPr>
        <xdr:spPr bwMode="auto">
          <a:xfrm flipH="1">
            <a:off x="0" y="0"/>
            <a:ext cx="66" cy="23"/>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sp macro="" textlink="">
        <xdr:nvSpPr>
          <xdr:cNvPr id="12" name="Line 125">
            <a:extLst>
              <a:ext uri="{FF2B5EF4-FFF2-40B4-BE49-F238E27FC236}">
                <a16:creationId xmlns:a16="http://schemas.microsoft.com/office/drawing/2014/main" id="{00000000-0008-0000-0500-00000C000000}"/>
              </a:ext>
            </a:extLst>
          </xdr:cNvPr>
          <xdr:cNvSpPr>
            <a:spLocks noChangeShapeType="1"/>
          </xdr:cNvSpPr>
        </xdr:nvSpPr>
        <xdr:spPr bwMode="auto">
          <a:xfrm>
            <a:off x="67" y="0"/>
            <a:ext cx="67" cy="23"/>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sp macro="" textlink="">
        <xdr:nvSpPr>
          <xdr:cNvPr id="13" name="Line 126">
            <a:extLst>
              <a:ext uri="{FF2B5EF4-FFF2-40B4-BE49-F238E27FC236}">
                <a16:creationId xmlns:a16="http://schemas.microsoft.com/office/drawing/2014/main" id="{00000000-0008-0000-0500-00000D000000}"/>
              </a:ext>
            </a:extLst>
          </xdr:cNvPr>
          <xdr:cNvSpPr>
            <a:spLocks noChangeShapeType="1"/>
          </xdr:cNvSpPr>
        </xdr:nvSpPr>
        <xdr:spPr bwMode="auto">
          <a:xfrm>
            <a:off x="67" y="0"/>
            <a:ext cx="0" cy="23"/>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grpSp>
    <xdr:clientData/>
  </xdr:twoCellAnchor>
  <xdr:twoCellAnchor>
    <xdr:from>
      <xdr:col>0</xdr:col>
      <xdr:colOff>-742950</xdr:colOff>
      <xdr:row>0</xdr:row>
      <xdr:rowOff>0</xdr:rowOff>
    </xdr:from>
    <xdr:to>
      <xdr:col>0</xdr:col>
      <xdr:colOff>-742819</xdr:colOff>
      <xdr:row>0</xdr:row>
      <xdr:rowOff>22</xdr:rowOff>
    </xdr:to>
    <xdr:grpSp>
      <xdr:nvGrpSpPr>
        <xdr:cNvPr id="14" name="Gruppieren 13">
          <a:extLst>
            <a:ext uri="{FF2B5EF4-FFF2-40B4-BE49-F238E27FC236}">
              <a16:creationId xmlns:a16="http://schemas.microsoft.com/office/drawing/2014/main" id="{00000000-0008-0000-0500-00000E000000}"/>
            </a:ext>
          </a:extLst>
        </xdr:cNvPr>
        <xdr:cNvGrpSpPr/>
      </xdr:nvGrpSpPr>
      <xdr:grpSpPr>
        <a:xfrm>
          <a:off x="-739140" y="0"/>
          <a:ext cx="0" cy="22"/>
          <a:chOff x="0" y="0"/>
          <a:chExt cx="131" cy="22"/>
        </a:xfrm>
      </xdr:grpSpPr>
      <xdr:sp macro="" textlink="">
        <xdr:nvSpPr>
          <xdr:cNvPr id="15" name="Line 128">
            <a:extLst>
              <a:ext uri="{FF2B5EF4-FFF2-40B4-BE49-F238E27FC236}">
                <a16:creationId xmlns:a16="http://schemas.microsoft.com/office/drawing/2014/main" id="{00000000-0008-0000-0500-00000F000000}"/>
              </a:ext>
            </a:extLst>
          </xdr:cNvPr>
          <xdr:cNvSpPr>
            <a:spLocks noChangeShapeType="1"/>
          </xdr:cNvSpPr>
        </xdr:nvSpPr>
        <xdr:spPr bwMode="auto">
          <a:xfrm>
            <a:off x="0" y="1"/>
            <a:ext cx="43" cy="21"/>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sp macro="" textlink="">
        <xdr:nvSpPr>
          <xdr:cNvPr id="16" name="Line 129">
            <a:extLst>
              <a:ext uri="{FF2B5EF4-FFF2-40B4-BE49-F238E27FC236}">
                <a16:creationId xmlns:a16="http://schemas.microsoft.com/office/drawing/2014/main" id="{00000000-0008-0000-0500-000010000000}"/>
              </a:ext>
            </a:extLst>
          </xdr:cNvPr>
          <xdr:cNvSpPr>
            <a:spLocks noChangeShapeType="1"/>
          </xdr:cNvSpPr>
        </xdr:nvSpPr>
        <xdr:spPr bwMode="auto">
          <a:xfrm>
            <a:off x="63" y="-3"/>
            <a:ext cx="0" cy="25"/>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sp macro="" textlink="">
        <xdr:nvSpPr>
          <xdr:cNvPr id="17" name="Line 130">
            <a:extLst>
              <a:ext uri="{FF2B5EF4-FFF2-40B4-BE49-F238E27FC236}">
                <a16:creationId xmlns:a16="http://schemas.microsoft.com/office/drawing/2014/main" id="{00000000-0008-0000-0500-000011000000}"/>
              </a:ext>
            </a:extLst>
          </xdr:cNvPr>
          <xdr:cNvSpPr>
            <a:spLocks noChangeShapeType="1"/>
          </xdr:cNvSpPr>
        </xdr:nvSpPr>
        <xdr:spPr bwMode="auto">
          <a:xfrm flipH="1">
            <a:off x="77" y="0"/>
            <a:ext cx="54" cy="22"/>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grpSp>
    <xdr:clientData/>
  </xdr:twoCellAnchor>
  <xdr:twoCellAnchor>
    <xdr:from>
      <xdr:col>6</xdr:col>
      <xdr:colOff>381000</xdr:colOff>
      <xdr:row>71</xdr:row>
      <xdr:rowOff>47625</xdr:rowOff>
    </xdr:from>
    <xdr:to>
      <xdr:col>8</xdr:col>
      <xdr:colOff>171450</xdr:colOff>
      <xdr:row>72</xdr:row>
      <xdr:rowOff>133350</xdr:rowOff>
    </xdr:to>
    <xdr:grpSp>
      <xdr:nvGrpSpPr>
        <xdr:cNvPr id="26" name="Gruppieren 25">
          <a:extLst>
            <a:ext uri="{FF2B5EF4-FFF2-40B4-BE49-F238E27FC236}">
              <a16:creationId xmlns:a16="http://schemas.microsoft.com/office/drawing/2014/main" id="{00000000-0008-0000-0500-00001A000000}"/>
            </a:ext>
          </a:extLst>
        </xdr:cNvPr>
        <xdr:cNvGrpSpPr/>
      </xdr:nvGrpSpPr>
      <xdr:grpSpPr>
        <a:xfrm>
          <a:off x="3695700" y="15194280"/>
          <a:ext cx="891540" cy="289560"/>
          <a:chOff x="4391025" y="2828925"/>
          <a:chExt cx="1314450" cy="247650"/>
        </a:xfrm>
      </xdr:grpSpPr>
      <xdr:cxnSp macro="">
        <xdr:nvCxnSpPr>
          <xdr:cNvPr id="27" name="Gerade Verbindung mit Pfeil 26">
            <a:extLst>
              <a:ext uri="{FF2B5EF4-FFF2-40B4-BE49-F238E27FC236}">
                <a16:creationId xmlns:a16="http://schemas.microsoft.com/office/drawing/2014/main" id="{00000000-0008-0000-0500-00001B000000}"/>
              </a:ext>
            </a:extLst>
          </xdr:cNvPr>
          <xdr:cNvCxnSpPr/>
        </xdr:nvCxnSpPr>
        <xdr:spPr>
          <a:xfrm flipH="1">
            <a:off x="4391025" y="2828925"/>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8" name="Gerade Verbindung mit Pfeil 27">
            <a:extLst>
              <a:ext uri="{FF2B5EF4-FFF2-40B4-BE49-F238E27FC236}">
                <a16:creationId xmlns:a16="http://schemas.microsoft.com/office/drawing/2014/main" id="{00000000-0008-0000-0500-00001C000000}"/>
              </a:ext>
            </a:extLst>
          </xdr:cNvPr>
          <xdr:cNvCxnSpPr/>
        </xdr:nvCxnSpPr>
        <xdr:spPr>
          <a:xfrm>
            <a:off x="5067300" y="2828925"/>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9" name="Gerade Verbindung mit Pfeil 28">
            <a:extLst>
              <a:ext uri="{FF2B5EF4-FFF2-40B4-BE49-F238E27FC236}">
                <a16:creationId xmlns:a16="http://schemas.microsoft.com/office/drawing/2014/main" id="{00000000-0008-0000-0500-00001D000000}"/>
              </a:ext>
            </a:extLst>
          </xdr:cNvPr>
          <xdr:cNvCxnSpPr/>
        </xdr:nvCxnSpPr>
        <xdr:spPr>
          <a:xfrm>
            <a:off x="5048250" y="2847975"/>
            <a:ext cx="0" cy="22860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361950</xdr:colOff>
      <xdr:row>78</xdr:row>
      <xdr:rowOff>57150</xdr:rowOff>
    </xdr:from>
    <xdr:to>
      <xdr:col>8</xdr:col>
      <xdr:colOff>190500</xdr:colOff>
      <xdr:row>79</xdr:row>
      <xdr:rowOff>95250</xdr:rowOff>
    </xdr:to>
    <xdr:grpSp>
      <xdr:nvGrpSpPr>
        <xdr:cNvPr id="35" name="Gruppieren 34">
          <a:extLst>
            <a:ext uri="{FF2B5EF4-FFF2-40B4-BE49-F238E27FC236}">
              <a16:creationId xmlns:a16="http://schemas.microsoft.com/office/drawing/2014/main" id="{00000000-0008-0000-0500-000023000000}"/>
            </a:ext>
          </a:extLst>
        </xdr:cNvPr>
        <xdr:cNvGrpSpPr/>
      </xdr:nvGrpSpPr>
      <xdr:grpSpPr>
        <a:xfrm>
          <a:off x="3672840" y="16664940"/>
          <a:ext cx="937260" cy="247650"/>
          <a:chOff x="7153275" y="6305550"/>
          <a:chExt cx="1352550" cy="200025"/>
        </a:xfrm>
      </xdr:grpSpPr>
      <xdr:cxnSp macro="">
        <xdr:nvCxnSpPr>
          <xdr:cNvPr id="31" name="Gerade Verbindung mit Pfeil 30">
            <a:extLst>
              <a:ext uri="{FF2B5EF4-FFF2-40B4-BE49-F238E27FC236}">
                <a16:creationId xmlns:a16="http://schemas.microsoft.com/office/drawing/2014/main" id="{00000000-0008-0000-0500-00001F000000}"/>
              </a:ext>
            </a:extLst>
          </xdr:cNvPr>
          <xdr:cNvCxnSpPr/>
        </xdr:nvCxnSpPr>
        <xdr:spPr>
          <a:xfrm flipH="1">
            <a:off x="7867650" y="6305550"/>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2" name="Gerade Verbindung mit Pfeil 31">
            <a:extLst>
              <a:ext uri="{FF2B5EF4-FFF2-40B4-BE49-F238E27FC236}">
                <a16:creationId xmlns:a16="http://schemas.microsoft.com/office/drawing/2014/main" id="{00000000-0008-0000-0500-000020000000}"/>
              </a:ext>
            </a:extLst>
          </xdr:cNvPr>
          <xdr:cNvCxnSpPr/>
        </xdr:nvCxnSpPr>
        <xdr:spPr>
          <a:xfrm>
            <a:off x="7153275" y="6305550"/>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3" name="Gerade Verbindung mit Pfeil 32">
            <a:extLst>
              <a:ext uri="{FF2B5EF4-FFF2-40B4-BE49-F238E27FC236}">
                <a16:creationId xmlns:a16="http://schemas.microsoft.com/office/drawing/2014/main" id="{00000000-0008-0000-0500-000021000000}"/>
              </a:ext>
            </a:extLst>
          </xdr:cNvPr>
          <xdr:cNvCxnSpPr/>
        </xdr:nvCxnSpPr>
        <xdr:spPr>
          <a:xfrm>
            <a:off x="7829550" y="6324600"/>
            <a:ext cx="0" cy="17145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247649</xdr:colOff>
      <xdr:row>54</xdr:row>
      <xdr:rowOff>38099</xdr:rowOff>
    </xdr:from>
    <xdr:to>
      <xdr:col>8</xdr:col>
      <xdr:colOff>307556</xdr:colOff>
      <xdr:row>56</xdr:row>
      <xdr:rowOff>11905</xdr:rowOff>
    </xdr:to>
    <xdr:grpSp>
      <xdr:nvGrpSpPr>
        <xdr:cNvPr id="69" name="Gruppieren 68">
          <a:extLst>
            <a:ext uri="{FF2B5EF4-FFF2-40B4-BE49-F238E27FC236}">
              <a16:creationId xmlns:a16="http://schemas.microsoft.com/office/drawing/2014/main" id="{00000000-0008-0000-0500-000045000000}"/>
            </a:ext>
          </a:extLst>
        </xdr:cNvPr>
        <xdr:cNvGrpSpPr/>
      </xdr:nvGrpSpPr>
      <xdr:grpSpPr>
        <a:xfrm>
          <a:off x="3566159" y="11868149"/>
          <a:ext cx="1160997" cy="272891"/>
          <a:chOff x="3381375" y="2800351"/>
          <a:chExt cx="1476375" cy="285749"/>
        </a:xfrm>
      </xdr:grpSpPr>
      <xdr:cxnSp macro="">
        <xdr:nvCxnSpPr>
          <xdr:cNvPr id="50" name="Gerade Verbindung mit Pfeil 49">
            <a:extLst>
              <a:ext uri="{FF2B5EF4-FFF2-40B4-BE49-F238E27FC236}">
                <a16:creationId xmlns:a16="http://schemas.microsoft.com/office/drawing/2014/main" id="{00000000-0008-0000-0500-000032000000}"/>
              </a:ext>
            </a:extLst>
          </xdr:cNvPr>
          <xdr:cNvCxnSpPr/>
        </xdr:nvCxnSpPr>
        <xdr:spPr>
          <a:xfrm>
            <a:off x="3409950" y="2800351"/>
            <a:ext cx="1447800" cy="2381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52" name="Gerade Verbindung mit Pfeil 51">
            <a:extLst>
              <a:ext uri="{FF2B5EF4-FFF2-40B4-BE49-F238E27FC236}">
                <a16:creationId xmlns:a16="http://schemas.microsoft.com/office/drawing/2014/main" id="{00000000-0008-0000-0500-000034000000}"/>
              </a:ext>
            </a:extLst>
          </xdr:cNvPr>
          <xdr:cNvCxnSpPr/>
        </xdr:nvCxnSpPr>
        <xdr:spPr>
          <a:xfrm>
            <a:off x="3381375" y="2847975"/>
            <a:ext cx="9525" cy="2381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53" name="Gerade Verbindung mit Pfeil 52">
            <a:extLst>
              <a:ext uri="{FF2B5EF4-FFF2-40B4-BE49-F238E27FC236}">
                <a16:creationId xmlns:a16="http://schemas.microsoft.com/office/drawing/2014/main" id="{00000000-0008-0000-0500-000035000000}"/>
              </a:ext>
            </a:extLst>
          </xdr:cNvPr>
          <xdr:cNvCxnSpPr/>
        </xdr:nvCxnSpPr>
        <xdr:spPr>
          <a:xfrm>
            <a:off x="3381375" y="2819400"/>
            <a:ext cx="733425" cy="22860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238125</xdr:colOff>
      <xdr:row>0</xdr:row>
      <xdr:rowOff>-552450</xdr:rowOff>
    </xdr:from>
    <xdr:to>
      <xdr:col>1</xdr:col>
      <xdr:colOff>238497</xdr:colOff>
      <xdr:row>0</xdr:row>
      <xdr:rowOff>-552425</xdr:rowOff>
    </xdr:to>
    <xdr:grpSp>
      <xdr:nvGrpSpPr>
        <xdr:cNvPr id="48" name="Gruppieren 47">
          <a:extLst>
            <a:ext uri="{FF2B5EF4-FFF2-40B4-BE49-F238E27FC236}">
              <a16:creationId xmlns:a16="http://schemas.microsoft.com/office/drawing/2014/main" id="{00000000-0008-0000-0500-000030000000}"/>
            </a:ext>
          </a:extLst>
        </xdr:cNvPr>
        <xdr:cNvGrpSpPr/>
      </xdr:nvGrpSpPr>
      <xdr:grpSpPr>
        <a:xfrm>
          <a:off x="792480" y="-548640"/>
          <a:ext cx="372" cy="0"/>
          <a:chOff x="0" y="0"/>
          <a:chExt cx="372" cy="25"/>
        </a:xfrm>
      </xdr:grpSpPr>
      <xdr:sp macro="" textlink="">
        <xdr:nvSpPr>
          <xdr:cNvPr id="49" name="Line 2">
            <a:extLst>
              <a:ext uri="{FF2B5EF4-FFF2-40B4-BE49-F238E27FC236}">
                <a16:creationId xmlns:a16="http://schemas.microsoft.com/office/drawing/2014/main" id="{00000000-0008-0000-0500-000031000000}"/>
              </a:ext>
            </a:extLst>
          </xdr:cNvPr>
          <xdr:cNvSpPr>
            <a:spLocks noChangeShapeType="1"/>
          </xdr:cNvSpPr>
        </xdr:nvSpPr>
        <xdr:spPr bwMode="auto">
          <a:xfrm>
            <a:off x="0" y="0"/>
            <a:ext cx="186"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de-DE"/>
          </a:p>
        </xdr:txBody>
      </xdr:sp>
      <xdr:sp macro="" textlink="">
        <xdr:nvSpPr>
          <xdr:cNvPr id="51" name="Line 3">
            <a:extLst>
              <a:ext uri="{FF2B5EF4-FFF2-40B4-BE49-F238E27FC236}">
                <a16:creationId xmlns:a16="http://schemas.microsoft.com/office/drawing/2014/main" id="{00000000-0008-0000-0500-000033000000}"/>
              </a:ext>
            </a:extLst>
          </xdr:cNvPr>
          <xdr:cNvSpPr>
            <a:spLocks noChangeShapeType="1"/>
          </xdr:cNvSpPr>
        </xdr:nvSpPr>
        <xdr:spPr bwMode="auto">
          <a:xfrm flipH="1">
            <a:off x="186" y="0"/>
            <a:ext cx="186"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de-DE"/>
          </a:p>
        </xdr:txBody>
      </xdr:sp>
    </xdr:grpSp>
    <xdr:clientData/>
  </xdr:twoCellAnchor>
  <xdr:twoCellAnchor>
    <xdr:from>
      <xdr:col>4</xdr:col>
      <xdr:colOff>57149</xdr:colOff>
      <xdr:row>34</xdr:row>
      <xdr:rowOff>76200</xdr:rowOff>
    </xdr:from>
    <xdr:to>
      <xdr:col>10</xdr:col>
      <xdr:colOff>9524</xdr:colOff>
      <xdr:row>35</xdr:row>
      <xdr:rowOff>114300</xdr:rowOff>
    </xdr:to>
    <xdr:grpSp>
      <xdr:nvGrpSpPr>
        <xdr:cNvPr id="58" name="Gruppieren 57">
          <a:extLst>
            <a:ext uri="{FF2B5EF4-FFF2-40B4-BE49-F238E27FC236}">
              <a16:creationId xmlns:a16="http://schemas.microsoft.com/office/drawing/2014/main" id="{00000000-0008-0000-0500-00003A000000}"/>
            </a:ext>
          </a:extLst>
        </xdr:cNvPr>
        <xdr:cNvGrpSpPr/>
      </xdr:nvGrpSpPr>
      <xdr:grpSpPr>
        <a:xfrm>
          <a:off x="2270759" y="7839075"/>
          <a:ext cx="3265170" cy="247650"/>
          <a:chOff x="7153275" y="6305550"/>
          <a:chExt cx="1352550" cy="200025"/>
        </a:xfrm>
      </xdr:grpSpPr>
      <xdr:cxnSp macro="">
        <xdr:nvCxnSpPr>
          <xdr:cNvPr id="59" name="Gerade Verbindung mit Pfeil 58">
            <a:extLst>
              <a:ext uri="{FF2B5EF4-FFF2-40B4-BE49-F238E27FC236}">
                <a16:creationId xmlns:a16="http://schemas.microsoft.com/office/drawing/2014/main" id="{00000000-0008-0000-0500-00003B000000}"/>
              </a:ext>
            </a:extLst>
          </xdr:cNvPr>
          <xdr:cNvCxnSpPr/>
        </xdr:nvCxnSpPr>
        <xdr:spPr>
          <a:xfrm flipH="1">
            <a:off x="7867650" y="6305550"/>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0" name="Gerade Verbindung mit Pfeil 59">
            <a:extLst>
              <a:ext uri="{FF2B5EF4-FFF2-40B4-BE49-F238E27FC236}">
                <a16:creationId xmlns:a16="http://schemas.microsoft.com/office/drawing/2014/main" id="{00000000-0008-0000-0500-00003C000000}"/>
              </a:ext>
            </a:extLst>
          </xdr:cNvPr>
          <xdr:cNvCxnSpPr/>
        </xdr:nvCxnSpPr>
        <xdr:spPr>
          <a:xfrm>
            <a:off x="7153275" y="6305550"/>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1" name="Gerade Verbindung mit Pfeil 60">
            <a:extLst>
              <a:ext uri="{FF2B5EF4-FFF2-40B4-BE49-F238E27FC236}">
                <a16:creationId xmlns:a16="http://schemas.microsoft.com/office/drawing/2014/main" id="{00000000-0008-0000-0500-00003D000000}"/>
              </a:ext>
            </a:extLst>
          </xdr:cNvPr>
          <xdr:cNvCxnSpPr/>
        </xdr:nvCxnSpPr>
        <xdr:spPr>
          <a:xfrm>
            <a:off x="7829550" y="6324600"/>
            <a:ext cx="0" cy="17145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152400</xdr:colOff>
      <xdr:row>100</xdr:row>
      <xdr:rowOff>0</xdr:rowOff>
    </xdr:from>
    <xdr:to>
      <xdr:col>8</xdr:col>
      <xdr:colOff>161925</xdr:colOff>
      <xdr:row>106</xdr:row>
      <xdr:rowOff>142875</xdr:rowOff>
    </xdr:to>
    <xdr:cxnSp macro="">
      <xdr:nvCxnSpPr>
        <xdr:cNvPr id="65" name="Gerade Verbindung mit Pfeil 64">
          <a:extLst>
            <a:ext uri="{FF2B5EF4-FFF2-40B4-BE49-F238E27FC236}">
              <a16:creationId xmlns:a16="http://schemas.microsoft.com/office/drawing/2014/main" id="{00000000-0008-0000-0500-000041000000}"/>
            </a:ext>
          </a:extLst>
        </xdr:cNvPr>
        <xdr:cNvCxnSpPr/>
      </xdr:nvCxnSpPr>
      <xdr:spPr>
        <a:xfrm flipH="1">
          <a:off x="4419600" y="3143250"/>
          <a:ext cx="9525" cy="98107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381000</xdr:colOff>
      <xdr:row>161</xdr:row>
      <xdr:rowOff>47625</xdr:rowOff>
    </xdr:from>
    <xdr:to>
      <xdr:col>8</xdr:col>
      <xdr:colOff>171450</xdr:colOff>
      <xdr:row>162</xdr:row>
      <xdr:rowOff>133350</xdr:rowOff>
    </xdr:to>
    <xdr:grpSp>
      <xdr:nvGrpSpPr>
        <xdr:cNvPr id="85" name="Gruppieren 84">
          <a:extLst>
            <a:ext uri="{FF2B5EF4-FFF2-40B4-BE49-F238E27FC236}">
              <a16:creationId xmlns:a16="http://schemas.microsoft.com/office/drawing/2014/main" id="{00000000-0008-0000-0500-000055000000}"/>
            </a:ext>
          </a:extLst>
        </xdr:cNvPr>
        <xdr:cNvGrpSpPr/>
      </xdr:nvGrpSpPr>
      <xdr:grpSpPr>
        <a:xfrm>
          <a:off x="3695700" y="34415730"/>
          <a:ext cx="891540" cy="289560"/>
          <a:chOff x="4391025" y="2828925"/>
          <a:chExt cx="1314450" cy="247650"/>
        </a:xfrm>
      </xdr:grpSpPr>
      <xdr:cxnSp macro="">
        <xdr:nvCxnSpPr>
          <xdr:cNvPr id="86" name="Gerade Verbindung mit Pfeil 85">
            <a:extLst>
              <a:ext uri="{FF2B5EF4-FFF2-40B4-BE49-F238E27FC236}">
                <a16:creationId xmlns:a16="http://schemas.microsoft.com/office/drawing/2014/main" id="{00000000-0008-0000-0500-000056000000}"/>
              </a:ext>
            </a:extLst>
          </xdr:cNvPr>
          <xdr:cNvCxnSpPr/>
        </xdr:nvCxnSpPr>
        <xdr:spPr>
          <a:xfrm flipH="1">
            <a:off x="4391025" y="2828925"/>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87" name="Gerade Verbindung mit Pfeil 86">
            <a:extLst>
              <a:ext uri="{FF2B5EF4-FFF2-40B4-BE49-F238E27FC236}">
                <a16:creationId xmlns:a16="http://schemas.microsoft.com/office/drawing/2014/main" id="{00000000-0008-0000-0500-000057000000}"/>
              </a:ext>
            </a:extLst>
          </xdr:cNvPr>
          <xdr:cNvCxnSpPr/>
        </xdr:nvCxnSpPr>
        <xdr:spPr>
          <a:xfrm>
            <a:off x="5067300" y="2828925"/>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88" name="Gerade Verbindung mit Pfeil 87">
            <a:extLst>
              <a:ext uri="{FF2B5EF4-FFF2-40B4-BE49-F238E27FC236}">
                <a16:creationId xmlns:a16="http://schemas.microsoft.com/office/drawing/2014/main" id="{00000000-0008-0000-0500-000058000000}"/>
              </a:ext>
            </a:extLst>
          </xdr:cNvPr>
          <xdr:cNvCxnSpPr/>
        </xdr:nvCxnSpPr>
        <xdr:spPr>
          <a:xfrm>
            <a:off x="5048250" y="2847975"/>
            <a:ext cx="0" cy="22860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361950</xdr:colOff>
      <xdr:row>168</xdr:row>
      <xdr:rowOff>57150</xdr:rowOff>
    </xdr:from>
    <xdr:to>
      <xdr:col>8</xdr:col>
      <xdr:colOff>190500</xdr:colOff>
      <xdr:row>169</xdr:row>
      <xdr:rowOff>95250</xdr:rowOff>
    </xdr:to>
    <xdr:grpSp>
      <xdr:nvGrpSpPr>
        <xdr:cNvPr id="89" name="Gruppieren 88">
          <a:extLst>
            <a:ext uri="{FF2B5EF4-FFF2-40B4-BE49-F238E27FC236}">
              <a16:creationId xmlns:a16="http://schemas.microsoft.com/office/drawing/2014/main" id="{00000000-0008-0000-0500-000059000000}"/>
            </a:ext>
          </a:extLst>
        </xdr:cNvPr>
        <xdr:cNvGrpSpPr/>
      </xdr:nvGrpSpPr>
      <xdr:grpSpPr>
        <a:xfrm>
          <a:off x="3672840" y="35886390"/>
          <a:ext cx="937260" cy="247650"/>
          <a:chOff x="7153275" y="6305550"/>
          <a:chExt cx="1352550" cy="200025"/>
        </a:xfrm>
      </xdr:grpSpPr>
      <xdr:cxnSp macro="">
        <xdr:nvCxnSpPr>
          <xdr:cNvPr id="90" name="Gerade Verbindung mit Pfeil 89">
            <a:extLst>
              <a:ext uri="{FF2B5EF4-FFF2-40B4-BE49-F238E27FC236}">
                <a16:creationId xmlns:a16="http://schemas.microsoft.com/office/drawing/2014/main" id="{00000000-0008-0000-0500-00005A000000}"/>
              </a:ext>
            </a:extLst>
          </xdr:cNvPr>
          <xdr:cNvCxnSpPr/>
        </xdr:nvCxnSpPr>
        <xdr:spPr>
          <a:xfrm flipH="1">
            <a:off x="7867650" y="6305550"/>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91" name="Gerade Verbindung mit Pfeil 90">
            <a:extLst>
              <a:ext uri="{FF2B5EF4-FFF2-40B4-BE49-F238E27FC236}">
                <a16:creationId xmlns:a16="http://schemas.microsoft.com/office/drawing/2014/main" id="{00000000-0008-0000-0500-00005B000000}"/>
              </a:ext>
            </a:extLst>
          </xdr:cNvPr>
          <xdr:cNvCxnSpPr/>
        </xdr:nvCxnSpPr>
        <xdr:spPr>
          <a:xfrm>
            <a:off x="7153275" y="6305550"/>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92" name="Gerade Verbindung mit Pfeil 91">
            <a:extLst>
              <a:ext uri="{FF2B5EF4-FFF2-40B4-BE49-F238E27FC236}">
                <a16:creationId xmlns:a16="http://schemas.microsoft.com/office/drawing/2014/main" id="{00000000-0008-0000-0500-00005C000000}"/>
              </a:ext>
            </a:extLst>
          </xdr:cNvPr>
          <xdr:cNvCxnSpPr/>
        </xdr:nvCxnSpPr>
        <xdr:spPr>
          <a:xfrm>
            <a:off x="7829550" y="6324600"/>
            <a:ext cx="0" cy="17145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381000</xdr:colOff>
      <xdr:row>144</xdr:row>
      <xdr:rowOff>47625</xdr:rowOff>
    </xdr:from>
    <xdr:to>
      <xdr:col>8</xdr:col>
      <xdr:colOff>171450</xdr:colOff>
      <xdr:row>145</xdr:row>
      <xdr:rowOff>133350</xdr:rowOff>
    </xdr:to>
    <xdr:grpSp>
      <xdr:nvGrpSpPr>
        <xdr:cNvPr id="98" name="Gruppieren 97">
          <a:extLst>
            <a:ext uri="{FF2B5EF4-FFF2-40B4-BE49-F238E27FC236}">
              <a16:creationId xmlns:a16="http://schemas.microsoft.com/office/drawing/2014/main" id="{00000000-0008-0000-0500-000062000000}"/>
            </a:ext>
          </a:extLst>
        </xdr:cNvPr>
        <xdr:cNvGrpSpPr/>
      </xdr:nvGrpSpPr>
      <xdr:grpSpPr>
        <a:xfrm>
          <a:off x="3695700" y="30977205"/>
          <a:ext cx="891540" cy="289560"/>
          <a:chOff x="4391025" y="2828925"/>
          <a:chExt cx="1314450" cy="247650"/>
        </a:xfrm>
      </xdr:grpSpPr>
      <xdr:cxnSp macro="">
        <xdr:nvCxnSpPr>
          <xdr:cNvPr id="99" name="Gerade Verbindung mit Pfeil 98">
            <a:extLst>
              <a:ext uri="{FF2B5EF4-FFF2-40B4-BE49-F238E27FC236}">
                <a16:creationId xmlns:a16="http://schemas.microsoft.com/office/drawing/2014/main" id="{00000000-0008-0000-0500-000063000000}"/>
              </a:ext>
            </a:extLst>
          </xdr:cNvPr>
          <xdr:cNvCxnSpPr/>
        </xdr:nvCxnSpPr>
        <xdr:spPr>
          <a:xfrm flipH="1">
            <a:off x="4391025" y="2828925"/>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0" name="Gerade Verbindung mit Pfeil 99">
            <a:extLst>
              <a:ext uri="{FF2B5EF4-FFF2-40B4-BE49-F238E27FC236}">
                <a16:creationId xmlns:a16="http://schemas.microsoft.com/office/drawing/2014/main" id="{00000000-0008-0000-0500-000064000000}"/>
              </a:ext>
            </a:extLst>
          </xdr:cNvPr>
          <xdr:cNvCxnSpPr/>
        </xdr:nvCxnSpPr>
        <xdr:spPr>
          <a:xfrm>
            <a:off x="5067300" y="2828925"/>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1" name="Gerade Verbindung mit Pfeil 100">
            <a:extLst>
              <a:ext uri="{FF2B5EF4-FFF2-40B4-BE49-F238E27FC236}">
                <a16:creationId xmlns:a16="http://schemas.microsoft.com/office/drawing/2014/main" id="{00000000-0008-0000-0500-000065000000}"/>
              </a:ext>
            </a:extLst>
          </xdr:cNvPr>
          <xdr:cNvCxnSpPr/>
        </xdr:nvCxnSpPr>
        <xdr:spPr>
          <a:xfrm>
            <a:off x="5048250" y="2847975"/>
            <a:ext cx="0" cy="22860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11</xdr:col>
          <xdr:colOff>7620</xdr:colOff>
          <xdr:row>0</xdr:row>
          <xdr:rowOff>0</xdr:rowOff>
        </xdr:from>
        <xdr:to>
          <xdr:col>11</xdr:col>
          <xdr:colOff>251460</xdr:colOff>
          <xdr:row>0</xdr:row>
          <xdr:rowOff>236220</xdr:rowOff>
        </xdr:to>
        <xdr:sp macro="" textlink="">
          <xdr:nvSpPr>
            <xdr:cNvPr id="2067" name="Button 19" hidden="1">
              <a:extLst>
                <a:ext uri="{63B3BB69-23CF-44E3-9099-C40C66FF867C}">
                  <a14:compatExt spid="_x0000_s2067"/>
                </a:ext>
                <a:ext uri="{FF2B5EF4-FFF2-40B4-BE49-F238E27FC236}">
                  <a16:creationId xmlns:a16="http://schemas.microsoft.com/office/drawing/2014/main" id="{00000000-0008-0000-0500-000013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42</xdr:row>
          <xdr:rowOff>7620</xdr:rowOff>
        </xdr:from>
        <xdr:to>
          <xdr:col>11</xdr:col>
          <xdr:colOff>251460</xdr:colOff>
          <xdr:row>42</xdr:row>
          <xdr:rowOff>251460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500-000014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91</xdr:row>
          <xdr:rowOff>7620</xdr:rowOff>
        </xdr:from>
        <xdr:to>
          <xdr:col>11</xdr:col>
          <xdr:colOff>251460</xdr:colOff>
          <xdr:row>92</xdr:row>
          <xdr:rowOff>0</xdr:rowOff>
        </xdr:to>
        <xdr:sp macro="" textlink="">
          <xdr:nvSpPr>
            <xdr:cNvPr id="2070" name="Button 22" hidden="1">
              <a:extLst>
                <a:ext uri="{63B3BB69-23CF-44E3-9099-C40C66FF867C}">
                  <a14:compatExt spid="_x0000_s2070"/>
                </a:ext>
                <a:ext uri="{FF2B5EF4-FFF2-40B4-BE49-F238E27FC236}">
                  <a16:creationId xmlns:a16="http://schemas.microsoft.com/office/drawing/2014/main" id="{00000000-0008-0000-0500-000016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3</xdr:row>
          <xdr:rowOff>7620</xdr:rowOff>
        </xdr:from>
        <xdr:to>
          <xdr:col>11</xdr:col>
          <xdr:colOff>251460</xdr:colOff>
          <xdr:row>3</xdr:row>
          <xdr:rowOff>251460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500-000018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130</xdr:row>
          <xdr:rowOff>7620</xdr:rowOff>
        </xdr:from>
        <xdr:to>
          <xdr:col>11</xdr:col>
          <xdr:colOff>251460</xdr:colOff>
          <xdr:row>131</xdr:row>
          <xdr:rowOff>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500-000019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30480</xdr:colOff>
          <xdr:row>15</xdr:row>
          <xdr:rowOff>68580</xdr:rowOff>
        </xdr:from>
        <xdr:to>
          <xdr:col>25</xdr:col>
          <xdr:colOff>0</xdr:colOff>
          <xdr:row>17</xdr:row>
          <xdr:rowOff>99060</xdr:rowOff>
        </xdr:to>
        <xdr:sp macro="" textlink="">
          <xdr:nvSpPr>
            <xdr:cNvPr id="2089" name="Button 41" hidden="1">
              <a:extLst>
                <a:ext uri="{63B3BB69-23CF-44E3-9099-C40C66FF867C}">
                  <a14:compatExt spid="_x0000_s2089"/>
                </a:ext>
                <a:ext uri="{FF2B5EF4-FFF2-40B4-BE49-F238E27FC236}">
                  <a16:creationId xmlns:a16="http://schemas.microsoft.com/office/drawing/2014/main" id="{00000000-0008-0000-0500-000029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ausgewählte Anlage Laden (überschreibt!)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25</xdr:col>
          <xdr:colOff>388620</xdr:colOff>
          <xdr:row>7</xdr:row>
          <xdr:rowOff>106680</xdr:rowOff>
        </xdr:from>
        <xdr:to>
          <xdr:col>31</xdr:col>
          <xdr:colOff>548640</xdr:colOff>
          <xdr:row>15</xdr:row>
          <xdr:rowOff>160020</xdr:rowOff>
        </xdr:to>
        <xdr:sp macro="" textlink="">
          <xdr:nvSpPr>
            <xdr:cNvPr id="2090" name="List Box 42" hidden="1">
              <a:extLst>
                <a:ext uri="{63B3BB69-23CF-44E3-9099-C40C66FF867C}">
                  <a14:compatExt spid="_x0000_s2090"/>
                </a:ext>
                <a:ext uri="{FF2B5EF4-FFF2-40B4-BE49-F238E27FC236}">
                  <a16:creationId xmlns:a16="http://schemas.microsoft.com/office/drawing/2014/main" id="{00000000-0008-0000-0500-00002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24</xdr:col>
          <xdr:colOff>541020</xdr:colOff>
          <xdr:row>0</xdr:row>
          <xdr:rowOff>0</xdr:rowOff>
        </xdr:from>
        <xdr:to>
          <xdr:col>27</xdr:col>
          <xdr:colOff>7620</xdr:colOff>
          <xdr:row>0</xdr:row>
          <xdr:rowOff>236220</xdr:rowOff>
        </xdr:to>
        <xdr:sp macro="" textlink="">
          <xdr:nvSpPr>
            <xdr:cNvPr id="2091" name="stLilaAnAus" hidden="1">
              <a:extLst>
                <a:ext uri="{63B3BB69-23CF-44E3-9099-C40C66FF867C}">
                  <a14:compatExt spid="_x0000_s2091"/>
                </a:ext>
                <a:ext uri="{FF2B5EF4-FFF2-40B4-BE49-F238E27FC236}">
                  <a16:creationId xmlns:a16="http://schemas.microsoft.com/office/drawing/2014/main" id="{00000000-0008-0000-0500-00002B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editierbare Zellen farbig an/aus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27</xdr:col>
          <xdr:colOff>121920</xdr:colOff>
          <xdr:row>0</xdr:row>
          <xdr:rowOff>0</xdr:rowOff>
        </xdr:from>
        <xdr:to>
          <xdr:col>28</xdr:col>
          <xdr:colOff>594360</xdr:colOff>
          <xdr:row>1</xdr:row>
          <xdr:rowOff>7620</xdr:rowOff>
        </xdr:to>
        <xdr:sp macro="" textlink="">
          <xdr:nvSpPr>
            <xdr:cNvPr id="2093" name="Button 45" hidden="1">
              <a:extLst>
                <a:ext uri="{63B3BB69-23CF-44E3-9099-C40C66FF867C}">
                  <a14:compatExt spid="_x0000_s2093"/>
                </a:ext>
                <a:ext uri="{FF2B5EF4-FFF2-40B4-BE49-F238E27FC236}">
                  <a16:creationId xmlns:a16="http://schemas.microsoft.com/office/drawing/2014/main" id="{00000000-0008-0000-0500-00002D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alle 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739140</xdr:colOff>
          <xdr:row>168</xdr:row>
          <xdr:rowOff>198120</xdr:rowOff>
        </xdr:from>
        <xdr:to>
          <xdr:col>30</xdr:col>
          <xdr:colOff>106680</xdr:colOff>
          <xdr:row>177</xdr:row>
          <xdr:rowOff>106680</xdr:rowOff>
        </xdr:to>
        <xdr:sp macro="" textlink="">
          <xdr:nvSpPr>
            <xdr:cNvPr id="2095" name="List Box 47" hidden="1">
              <a:extLst>
                <a:ext uri="{63B3BB69-23CF-44E3-9099-C40C66FF867C}">
                  <a14:compatExt spid="_x0000_s2095"/>
                </a:ext>
                <a:ext uri="{FF2B5EF4-FFF2-40B4-BE49-F238E27FC236}">
                  <a16:creationId xmlns:a16="http://schemas.microsoft.com/office/drawing/2014/main" id="{00000000-0008-0000-0500-00002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746760</xdr:colOff>
          <xdr:row>178</xdr:row>
          <xdr:rowOff>99060</xdr:rowOff>
        </xdr:from>
        <xdr:to>
          <xdr:col>26</xdr:col>
          <xdr:colOff>487680</xdr:colOff>
          <xdr:row>179</xdr:row>
          <xdr:rowOff>175260</xdr:rowOff>
        </xdr:to>
        <xdr:sp macro="" textlink="">
          <xdr:nvSpPr>
            <xdr:cNvPr id="2096" name="Button 48" hidden="1">
              <a:extLst>
                <a:ext uri="{63B3BB69-23CF-44E3-9099-C40C66FF867C}">
                  <a14:compatExt spid="_x0000_s2096"/>
                </a:ext>
                <a:ext uri="{FF2B5EF4-FFF2-40B4-BE49-F238E27FC236}">
                  <a16:creationId xmlns:a16="http://schemas.microsoft.com/office/drawing/2014/main" id="{00000000-0008-0000-0500-000030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ausgewählte Anlage Laden (überschreibt!)</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1</xdr:colOff>
      <xdr:row>20</xdr:row>
      <xdr:rowOff>180975</xdr:rowOff>
    </xdr:from>
    <xdr:to>
      <xdr:col>14</xdr:col>
      <xdr:colOff>30480</xdr:colOff>
      <xdr:row>33</xdr:row>
      <xdr:rowOff>104775</xdr:rowOff>
    </xdr:to>
    <xdr:graphicFrame macro="">
      <xdr:nvGraphicFramePr>
        <xdr:cNvPr id="2" name="Diagramm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51</xdr:row>
      <xdr:rowOff>142875</xdr:rowOff>
    </xdr:from>
    <xdr:to>
      <xdr:col>6</xdr:col>
      <xdr:colOff>311347</xdr:colOff>
      <xdr:row>69</xdr:row>
      <xdr:rowOff>85725</xdr:rowOff>
    </xdr:to>
    <xdr:graphicFrame macro="">
      <xdr:nvGraphicFramePr>
        <xdr:cNvPr id="3" name="Diagramm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109537</xdr:colOff>
      <xdr:row>110</xdr:row>
      <xdr:rowOff>66675</xdr:rowOff>
    </xdr:from>
    <xdr:to>
      <xdr:col>8</xdr:col>
      <xdr:colOff>295275</xdr:colOff>
      <xdr:row>127</xdr:row>
      <xdr:rowOff>161926</xdr:rowOff>
    </xdr:to>
    <xdr:graphicFrame macro="">
      <xdr:nvGraphicFramePr>
        <xdr:cNvPr id="7" name="Diagramm 6">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145</xdr:row>
      <xdr:rowOff>38100</xdr:rowOff>
    </xdr:from>
    <xdr:to>
      <xdr:col>13</xdr:col>
      <xdr:colOff>342900</xdr:colOff>
      <xdr:row>159</xdr:row>
      <xdr:rowOff>38100</xdr:rowOff>
    </xdr:to>
    <xdr:graphicFrame macro="">
      <xdr:nvGraphicFramePr>
        <xdr:cNvPr id="8" name="Diagramm 7">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142875</xdr:rowOff>
    </xdr:from>
    <xdr:to>
      <xdr:col>6</xdr:col>
      <xdr:colOff>311347</xdr:colOff>
      <xdr:row>88</xdr:row>
      <xdr:rowOff>85725</xdr:rowOff>
    </xdr:to>
    <xdr:graphicFrame macro="">
      <xdr:nvGraphicFramePr>
        <xdr:cNvPr id="13" name="Diagramm 12">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51</xdr:row>
      <xdr:rowOff>142875</xdr:rowOff>
    </xdr:from>
    <xdr:to>
      <xdr:col>14</xdr:col>
      <xdr:colOff>411480</xdr:colOff>
      <xdr:row>69</xdr:row>
      <xdr:rowOff>85725</xdr:rowOff>
    </xdr:to>
    <xdr:graphicFrame macro="">
      <xdr:nvGraphicFramePr>
        <xdr:cNvPr id="16" name="Diagramm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70</xdr:row>
      <xdr:rowOff>142875</xdr:rowOff>
    </xdr:from>
    <xdr:to>
      <xdr:col>14</xdr:col>
      <xdr:colOff>411480</xdr:colOff>
      <xdr:row>88</xdr:row>
      <xdr:rowOff>85725</xdr:rowOff>
    </xdr:to>
    <xdr:graphicFrame macro="">
      <xdr:nvGraphicFramePr>
        <xdr:cNvPr id="17" name="Diagramm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7620</xdr:colOff>
          <xdr:row>0</xdr:row>
          <xdr:rowOff>0</xdr:rowOff>
        </xdr:from>
        <xdr:to>
          <xdr:col>15</xdr:col>
          <xdr:colOff>251460</xdr:colOff>
          <xdr:row>0</xdr:row>
          <xdr:rowOff>236220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600-000001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7620</xdr:colOff>
          <xdr:row>35</xdr:row>
          <xdr:rowOff>7620</xdr:rowOff>
        </xdr:from>
        <xdr:to>
          <xdr:col>15</xdr:col>
          <xdr:colOff>251460</xdr:colOff>
          <xdr:row>36</xdr:row>
          <xdr:rowOff>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600-000003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7620</xdr:colOff>
          <xdr:row>3</xdr:row>
          <xdr:rowOff>7620</xdr:rowOff>
        </xdr:from>
        <xdr:to>
          <xdr:col>15</xdr:col>
          <xdr:colOff>251460</xdr:colOff>
          <xdr:row>4</xdr:row>
          <xdr:rowOff>0</xdr:rowOff>
        </xdr:to>
        <xdr:sp macro="" textlink="">
          <xdr:nvSpPr>
            <xdr:cNvPr id="3077" name="Button 5" hidden="1">
              <a:extLst>
                <a:ext uri="{63B3BB69-23CF-44E3-9099-C40C66FF867C}">
                  <a14:compatExt spid="_x0000_s3077"/>
                </a:ext>
                <a:ext uri="{FF2B5EF4-FFF2-40B4-BE49-F238E27FC236}">
                  <a16:creationId xmlns:a16="http://schemas.microsoft.com/office/drawing/2014/main" id="{00000000-0008-0000-0600-000005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7620</xdr:colOff>
          <xdr:row>90</xdr:row>
          <xdr:rowOff>7620</xdr:rowOff>
        </xdr:from>
        <xdr:to>
          <xdr:col>15</xdr:col>
          <xdr:colOff>251460</xdr:colOff>
          <xdr:row>91</xdr:row>
          <xdr:rowOff>0</xdr:rowOff>
        </xdr:to>
        <xdr:sp macro="" textlink="">
          <xdr:nvSpPr>
            <xdr:cNvPr id="3078" name="Button 6" hidden="1">
              <a:extLst>
                <a:ext uri="{63B3BB69-23CF-44E3-9099-C40C66FF867C}">
                  <a14:compatExt spid="_x0000_s3078"/>
                </a:ext>
                <a:ext uri="{FF2B5EF4-FFF2-40B4-BE49-F238E27FC236}">
                  <a16:creationId xmlns:a16="http://schemas.microsoft.com/office/drawing/2014/main" id="{00000000-0008-0000-0600-000006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7620</xdr:colOff>
          <xdr:row>129</xdr:row>
          <xdr:rowOff>7620</xdr:rowOff>
        </xdr:from>
        <xdr:to>
          <xdr:col>15</xdr:col>
          <xdr:colOff>251460</xdr:colOff>
          <xdr:row>130</xdr:row>
          <xdr:rowOff>0</xdr:rowOff>
        </xdr:to>
        <xdr:sp macro="" textlink="">
          <xdr:nvSpPr>
            <xdr:cNvPr id="3079" name="Button 7" hidden="1">
              <a:extLst>
                <a:ext uri="{63B3BB69-23CF-44E3-9099-C40C66FF867C}">
                  <a14:compatExt spid="_x0000_s3079"/>
                </a:ext>
                <a:ext uri="{FF2B5EF4-FFF2-40B4-BE49-F238E27FC236}">
                  <a16:creationId xmlns:a16="http://schemas.microsoft.com/office/drawing/2014/main" id="{00000000-0008-0000-06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137160</xdr:colOff>
          <xdr:row>133</xdr:row>
          <xdr:rowOff>22860</xdr:rowOff>
        </xdr:from>
        <xdr:to>
          <xdr:col>27</xdr:col>
          <xdr:colOff>22860</xdr:colOff>
          <xdr:row>136</xdr:row>
          <xdr:rowOff>114300</xdr:rowOff>
        </xdr:to>
        <xdr:sp macro="" textlink="">
          <xdr:nvSpPr>
            <xdr:cNvPr id="3081" name="List Box 9" hidden="1">
              <a:extLst>
                <a:ext uri="{63B3BB69-23CF-44E3-9099-C40C66FF867C}">
                  <a14:compatExt spid="_x0000_s3081"/>
                </a:ext>
                <a:ext uri="{FF2B5EF4-FFF2-40B4-BE49-F238E27FC236}">
                  <a16:creationId xmlns:a16="http://schemas.microsoft.com/office/drawing/2014/main" id="{00000000-0008-0000-06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8</xdr:col>
      <xdr:colOff>373380</xdr:colOff>
      <xdr:row>110</xdr:row>
      <xdr:rowOff>66675</xdr:rowOff>
    </xdr:from>
    <xdr:to>
      <xdr:col>19</xdr:col>
      <xdr:colOff>48578</xdr:colOff>
      <xdr:row>127</xdr:row>
      <xdr:rowOff>161926</xdr:rowOff>
    </xdr:to>
    <xdr:graphicFrame macro="">
      <xdr:nvGraphicFramePr>
        <xdr:cNvPr id="18" name="Diagramm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413385</xdr:colOff>
      <xdr:row>940</xdr:row>
      <xdr:rowOff>28574</xdr:rowOff>
    </xdr:from>
    <xdr:to>
      <xdr:col>12</xdr:col>
      <xdr:colOff>160020</xdr:colOff>
      <xdr:row>953</xdr:row>
      <xdr:rowOff>15239</xdr:rowOff>
    </xdr:to>
    <xdr:graphicFrame macro="">
      <xdr:nvGraphicFramePr>
        <xdr:cNvPr id="3" name="Diagramm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9</xdr:col>
          <xdr:colOff>7620</xdr:colOff>
          <xdr:row>0</xdr:row>
          <xdr:rowOff>0</xdr:rowOff>
        </xdr:from>
        <xdr:to>
          <xdr:col>9</xdr:col>
          <xdr:colOff>251460</xdr:colOff>
          <xdr:row>1</xdr:row>
          <xdr:rowOff>22860</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0700-000002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782</xdr:row>
          <xdr:rowOff>7620</xdr:rowOff>
        </xdr:from>
        <xdr:to>
          <xdr:col>9</xdr:col>
          <xdr:colOff>251460</xdr:colOff>
          <xdr:row>925</xdr:row>
          <xdr:rowOff>30480</xdr:rowOff>
        </xdr:to>
        <xdr:sp macro="" textlink="">
          <xdr:nvSpPr>
            <xdr:cNvPr id="12291" name="Button 3" hidden="1">
              <a:extLst>
                <a:ext uri="{63B3BB69-23CF-44E3-9099-C40C66FF867C}">
                  <a14:compatExt spid="_x0000_s12291"/>
                </a:ext>
                <a:ext uri="{FF2B5EF4-FFF2-40B4-BE49-F238E27FC236}">
                  <a16:creationId xmlns:a16="http://schemas.microsoft.com/office/drawing/2014/main" id="{00000000-0008-0000-0700-000003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56</xdr:row>
          <xdr:rowOff>7620</xdr:rowOff>
        </xdr:from>
        <xdr:to>
          <xdr:col>9</xdr:col>
          <xdr:colOff>251460</xdr:colOff>
          <xdr:row>463</xdr:row>
          <xdr:rowOff>30480</xdr:rowOff>
        </xdr:to>
        <xdr:sp macro="" textlink="">
          <xdr:nvSpPr>
            <xdr:cNvPr id="12292" name="Button 4" hidden="1">
              <a:extLst>
                <a:ext uri="{63B3BB69-23CF-44E3-9099-C40C66FF867C}">
                  <a14:compatExt spid="_x0000_s12292"/>
                </a:ext>
                <a:ext uri="{FF2B5EF4-FFF2-40B4-BE49-F238E27FC236}">
                  <a16:creationId xmlns:a16="http://schemas.microsoft.com/office/drawing/2014/main" id="{00000000-0008-0000-0700-000004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464</xdr:row>
          <xdr:rowOff>7620</xdr:rowOff>
        </xdr:from>
        <xdr:to>
          <xdr:col>9</xdr:col>
          <xdr:colOff>251460</xdr:colOff>
          <xdr:row>781</xdr:row>
          <xdr:rowOff>30480</xdr:rowOff>
        </xdr:to>
        <xdr:sp macro="" textlink="">
          <xdr:nvSpPr>
            <xdr:cNvPr id="12304" name="Button 16" hidden="1">
              <a:extLst>
                <a:ext uri="{63B3BB69-23CF-44E3-9099-C40C66FF867C}">
                  <a14:compatExt spid="_x0000_s12304"/>
                </a:ext>
                <a:ext uri="{FF2B5EF4-FFF2-40B4-BE49-F238E27FC236}">
                  <a16:creationId xmlns:a16="http://schemas.microsoft.com/office/drawing/2014/main" id="{00000000-0008-0000-0700-000010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926</xdr:row>
          <xdr:rowOff>7620</xdr:rowOff>
        </xdr:from>
        <xdr:to>
          <xdr:col>9</xdr:col>
          <xdr:colOff>251460</xdr:colOff>
          <xdr:row>938</xdr:row>
          <xdr:rowOff>30480</xdr:rowOff>
        </xdr:to>
        <xdr:sp macro="" textlink="">
          <xdr:nvSpPr>
            <xdr:cNvPr id="12305" name="Button 17" hidden="1">
              <a:extLst>
                <a:ext uri="{63B3BB69-23CF-44E3-9099-C40C66FF867C}">
                  <a14:compatExt spid="_x0000_s12305"/>
                </a:ext>
                <a:ext uri="{FF2B5EF4-FFF2-40B4-BE49-F238E27FC236}">
                  <a16:creationId xmlns:a16="http://schemas.microsoft.com/office/drawing/2014/main" id="{00000000-0008-0000-0700-000011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939</xdr:row>
          <xdr:rowOff>7620</xdr:rowOff>
        </xdr:from>
        <xdr:to>
          <xdr:col>9</xdr:col>
          <xdr:colOff>251460</xdr:colOff>
          <xdr:row>954</xdr:row>
          <xdr:rowOff>30480</xdr:rowOff>
        </xdr:to>
        <xdr:sp macro="" textlink="">
          <xdr:nvSpPr>
            <xdr:cNvPr id="12306" name="Button 18" hidden="1">
              <a:extLst>
                <a:ext uri="{63B3BB69-23CF-44E3-9099-C40C66FF867C}">
                  <a14:compatExt spid="_x0000_s12306"/>
                </a:ext>
                <a:ext uri="{FF2B5EF4-FFF2-40B4-BE49-F238E27FC236}">
                  <a16:creationId xmlns:a16="http://schemas.microsoft.com/office/drawing/2014/main" id="{00000000-0008-0000-0700-000012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991</xdr:row>
          <xdr:rowOff>7620</xdr:rowOff>
        </xdr:from>
        <xdr:to>
          <xdr:col>9</xdr:col>
          <xdr:colOff>251460</xdr:colOff>
          <xdr:row>1195</xdr:row>
          <xdr:rowOff>30480</xdr:rowOff>
        </xdr:to>
        <xdr:sp macro="" textlink="">
          <xdr:nvSpPr>
            <xdr:cNvPr id="12307" name="Button 19" hidden="1">
              <a:extLst>
                <a:ext uri="{63B3BB69-23CF-44E3-9099-C40C66FF867C}">
                  <a14:compatExt spid="_x0000_s12307"/>
                </a:ext>
                <a:ext uri="{FF2B5EF4-FFF2-40B4-BE49-F238E27FC236}">
                  <a16:creationId xmlns:a16="http://schemas.microsoft.com/office/drawing/2014/main" id="{00000000-0008-0000-0700-000013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37</xdr:row>
          <xdr:rowOff>7620</xdr:rowOff>
        </xdr:from>
        <xdr:to>
          <xdr:col>9</xdr:col>
          <xdr:colOff>251460</xdr:colOff>
          <xdr:row>55</xdr:row>
          <xdr:rowOff>30480</xdr:rowOff>
        </xdr:to>
        <xdr:sp macro="" textlink="">
          <xdr:nvSpPr>
            <xdr:cNvPr id="12310" name="Button 22" hidden="1">
              <a:extLst>
                <a:ext uri="{63B3BB69-23CF-44E3-9099-C40C66FF867C}">
                  <a14:compatExt spid="_x0000_s12310"/>
                </a:ext>
                <a:ext uri="{FF2B5EF4-FFF2-40B4-BE49-F238E27FC236}">
                  <a16:creationId xmlns:a16="http://schemas.microsoft.com/office/drawing/2014/main" id="{00000000-0008-0000-0700-000016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1568</xdr:row>
          <xdr:rowOff>7620</xdr:rowOff>
        </xdr:from>
        <xdr:to>
          <xdr:col>9</xdr:col>
          <xdr:colOff>251460</xdr:colOff>
          <xdr:row>1600</xdr:row>
          <xdr:rowOff>30480</xdr:rowOff>
        </xdr:to>
        <xdr:sp macro="" textlink="">
          <xdr:nvSpPr>
            <xdr:cNvPr id="12311" name="Button 23" hidden="1">
              <a:extLst>
                <a:ext uri="{63B3BB69-23CF-44E3-9099-C40C66FF867C}">
                  <a14:compatExt spid="_x0000_s12311"/>
                </a:ext>
                <a:ext uri="{FF2B5EF4-FFF2-40B4-BE49-F238E27FC236}">
                  <a16:creationId xmlns:a16="http://schemas.microsoft.com/office/drawing/2014/main" id="{00000000-0008-0000-0700-000017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1601</xdr:row>
          <xdr:rowOff>7620</xdr:rowOff>
        </xdr:from>
        <xdr:to>
          <xdr:col>9</xdr:col>
          <xdr:colOff>251460</xdr:colOff>
          <xdr:row>1616</xdr:row>
          <xdr:rowOff>30480</xdr:rowOff>
        </xdr:to>
        <xdr:sp macro="" textlink="">
          <xdr:nvSpPr>
            <xdr:cNvPr id="12313" name="Button 25" hidden="1">
              <a:extLst>
                <a:ext uri="{63B3BB69-23CF-44E3-9099-C40C66FF867C}">
                  <a14:compatExt spid="_x0000_s12313"/>
                </a:ext>
                <a:ext uri="{FF2B5EF4-FFF2-40B4-BE49-F238E27FC236}">
                  <a16:creationId xmlns:a16="http://schemas.microsoft.com/office/drawing/2014/main" id="{00000000-0008-0000-0700-000019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30480</xdr:colOff>
          <xdr:row>0</xdr:row>
          <xdr:rowOff>0</xdr:rowOff>
        </xdr:from>
        <xdr:to>
          <xdr:col>26</xdr:col>
          <xdr:colOff>541020</xdr:colOff>
          <xdr:row>1</xdr:row>
          <xdr:rowOff>30480</xdr:rowOff>
        </xdr:to>
        <xdr:sp macro="" textlink="">
          <xdr:nvSpPr>
            <xdr:cNvPr id="12314" name="stLilaAnAus" hidden="1">
              <a:extLst>
                <a:ext uri="{63B3BB69-23CF-44E3-9099-C40C66FF867C}">
                  <a14:compatExt spid="_x0000_s12314"/>
                </a:ext>
                <a:ext uri="{FF2B5EF4-FFF2-40B4-BE49-F238E27FC236}">
                  <a16:creationId xmlns:a16="http://schemas.microsoft.com/office/drawing/2014/main" id="{00000000-0008-0000-0700-00001A3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editierbare Zellen farbig an/aus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1196</xdr:row>
          <xdr:rowOff>7620</xdr:rowOff>
        </xdr:from>
        <xdr:to>
          <xdr:col>9</xdr:col>
          <xdr:colOff>251460</xdr:colOff>
          <xdr:row>1338</xdr:row>
          <xdr:rowOff>30480</xdr:rowOff>
        </xdr:to>
        <xdr:sp macro="" textlink="">
          <xdr:nvSpPr>
            <xdr:cNvPr id="12317" name="Button 29" hidden="1">
              <a:extLst>
                <a:ext uri="{63B3BB69-23CF-44E3-9099-C40C66FF867C}">
                  <a14:compatExt spid="_x0000_s12317"/>
                </a:ext>
                <a:ext uri="{FF2B5EF4-FFF2-40B4-BE49-F238E27FC236}">
                  <a16:creationId xmlns:a16="http://schemas.microsoft.com/office/drawing/2014/main" id="{00000000-0008-0000-0700-00001D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1339</xdr:row>
          <xdr:rowOff>7620</xdr:rowOff>
        </xdr:from>
        <xdr:to>
          <xdr:col>9</xdr:col>
          <xdr:colOff>251460</xdr:colOff>
          <xdr:row>1541</xdr:row>
          <xdr:rowOff>30480</xdr:rowOff>
        </xdr:to>
        <xdr:sp macro="" textlink="">
          <xdr:nvSpPr>
            <xdr:cNvPr id="12318" name="Button 30" hidden="1">
              <a:extLst>
                <a:ext uri="{63B3BB69-23CF-44E3-9099-C40C66FF867C}">
                  <a14:compatExt spid="_x0000_s12318"/>
                </a:ext>
                <a:ext uri="{FF2B5EF4-FFF2-40B4-BE49-F238E27FC236}">
                  <a16:creationId xmlns:a16="http://schemas.microsoft.com/office/drawing/2014/main" id="{00000000-0008-0000-0700-00001E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1542</xdr:row>
          <xdr:rowOff>7620</xdr:rowOff>
        </xdr:from>
        <xdr:to>
          <xdr:col>9</xdr:col>
          <xdr:colOff>251460</xdr:colOff>
          <xdr:row>1567</xdr:row>
          <xdr:rowOff>30480</xdr:rowOff>
        </xdr:to>
        <xdr:sp macro="" textlink="">
          <xdr:nvSpPr>
            <xdr:cNvPr id="12319" name="Button 31" hidden="1">
              <a:extLst>
                <a:ext uri="{63B3BB69-23CF-44E3-9099-C40C66FF867C}">
                  <a14:compatExt spid="_x0000_s12319"/>
                </a:ext>
                <a:ext uri="{FF2B5EF4-FFF2-40B4-BE49-F238E27FC236}">
                  <a16:creationId xmlns:a16="http://schemas.microsoft.com/office/drawing/2014/main" id="{00000000-0008-0000-0700-00001F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2234</xdr:row>
          <xdr:rowOff>7620</xdr:rowOff>
        </xdr:from>
        <xdr:to>
          <xdr:col>9</xdr:col>
          <xdr:colOff>251460</xdr:colOff>
          <xdr:row>2257</xdr:row>
          <xdr:rowOff>30480</xdr:rowOff>
        </xdr:to>
        <xdr:sp macro="" textlink="">
          <xdr:nvSpPr>
            <xdr:cNvPr id="12320" name="Button 32" hidden="1">
              <a:extLst>
                <a:ext uri="{63B3BB69-23CF-44E3-9099-C40C66FF867C}">
                  <a14:compatExt spid="_x0000_s12320"/>
                </a:ext>
                <a:ext uri="{FF2B5EF4-FFF2-40B4-BE49-F238E27FC236}">
                  <a16:creationId xmlns:a16="http://schemas.microsoft.com/office/drawing/2014/main" id="{00000000-0008-0000-0700-000020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2268</xdr:row>
          <xdr:rowOff>7620</xdr:rowOff>
        </xdr:from>
        <xdr:to>
          <xdr:col>9</xdr:col>
          <xdr:colOff>251460</xdr:colOff>
          <xdr:row>2269</xdr:row>
          <xdr:rowOff>0</xdr:rowOff>
        </xdr:to>
        <xdr:sp macro="" textlink="">
          <xdr:nvSpPr>
            <xdr:cNvPr id="12321" name="Button 33" hidden="1">
              <a:extLst>
                <a:ext uri="{63B3BB69-23CF-44E3-9099-C40C66FF867C}">
                  <a14:compatExt spid="_x0000_s12321"/>
                </a:ext>
                <a:ext uri="{FF2B5EF4-FFF2-40B4-BE49-F238E27FC236}">
                  <a16:creationId xmlns:a16="http://schemas.microsoft.com/office/drawing/2014/main" id="{00000000-0008-0000-0700-000021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2276</xdr:row>
          <xdr:rowOff>7620</xdr:rowOff>
        </xdr:from>
        <xdr:to>
          <xdr:col>9</xdr:col>
          <xdr:colOff>251460</xdr:colOff>
          <xdr:row>2277</xdr:row>
          <xdr:rowOff>0</xdr:rowOff>
        </xdr:to>
        <xdr:sp macro="" textlink="">
          <xdr:nvSpPr>
            <xdr:cNvPr id="12322" name="Button 34" hidden="1">
              <a:extLst>
                <a:ext uri="{63B3BB69-23CF-44E3-9099-C40C66FF867C}">
                  <a14:compatExt spid="_x0000_s12322"/>
                </a:ext>
                <a:ext uri="{FF2B5EF4-FFF2-40B4-BE49-F238E27FC236}">
                  <a16:creationId xmlns:a16="http://schemas.microsoft.com/office/drawing/2014/main" id="{00000000-0008-0000-0700-000022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2288</xdr:row>
          <xdr:rowOff>7620</xdr:rowOff>
        </xdr:from>
        <xdr:to>
          <xdr:col>9</xdr:col>
          <xdr:colOff>251460</xdr:colOff>
          <xdr:row>2289</xdr:row>
          <xdr:rowOff>0</xdr:rowOff>
        </xdr:to>
        <xdr:sp macro="" textlink="">
          <xdr:nvSpPr>
            <xdr:cNvPr id="12323" name="Button 35" hidden="1">
              <a:extLst>
                <a:ext uri="{63B3BB69-23CF-44E3-9099-C40C66FF867C}">
                  <a14:compatExt spid="_x0000_s12323"/>
                </a:ext>
                <a:ext uri="{FF2B5EF4-FFF2-40B4-BE49-F238E27FC236}">
                  <a16:creationId xmlns:a16="http://schemas.microsoft.com/office/drawing/2014/main" id="{00000000-0008-0000-0700-000023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2258</xdr:row>
          <xdr:rowOff>7620</xdr:rowOff>
        </xdr:from>
        <xdr:to>
          <xdr:col>9</xdr:col>
          <xdr:colOff>251460</xdr:colOff>
          <xdr:row>2259</xdr:row>
          <xdr:rowOff>0</xdr:rowOff>
        </xdr:to>
        <xdr:sp macro="" textlink="">
          <xdr:nvSpPr>
            <xdr:cNvPr id="12324" name="Button 36" hidden="1">
              <a:extLst>
                <a:ext uri="{63B3BB69-23CF-44E3-9099-C40C66FF867C}">
                  <a14:compatExt spid="_x0000_s12324"/>
                </a:ext>
                <a:ext uri="{FF2B5EF4-FFF2-40B4-BE49-F238E27FC236}">
                  <a16:creationId xmlns:a16="http://schemas.microsoft.com/office/drawing/2014/main" id="{00000000-0008-0000-0700-000024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2310</xdr:row>
          <xdr:rowOff>7620</xdr:rowOff>
        </xdr:from>
        <xdr:to>
          <xdr:col>9</xdr:col>
          <xdr:colOff>251460</xdr:colOff>
          <xdr:row>2311</xdr:row>
          <xdr:rowOff>0</xdr:rowOff>
        </xdr:to>
        <xdr:sp macro="" textlink="">
          <xdr:nvSpPr>
            <xdr:cNvPr id="12325" name="Button 37" hidden="1">
              <a:extLst>
                <a:ext uri="{63B3BB69-23CF-44E3-9099-C40C66FF867C}">
                  <a14:compatExt spid="_x0000_s12325"/>
                </a:ext>
                <a:ext uri="{FF2B5EF4-FFF2-40B4-BE49-F238E27FC236}">
                  <a16:creationId xmlns:a16="http://schemas.microsoft.com/office/drawing/2014/main" id="{00000000-0008-0000-0700-000025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955</xdr:row>
          <xdr:rowOff>7620</xdr:rowOff>
        </xdr:from>
        <xdr:to>
          <xdr:col>9</xdr:col>
          <xdr:colOff>251460</xdr:colOff>
          <xdr:row>990</xdr:row>
          <xdr:rowOff>30480</xdr:rowOff>
        </xdr:to>
        <xdr:sp macro="" textlink="">
          <xdr:nvSpPr>
            <xdr:cNvPr id="12326" name="Button 38" hidden="1">
              <a:extLst>
                <a:ext uri="{63B3BB69-23CF-44E3-9099-C40C66FF867C}">
                  <a14:compatExt spid="_x0000_s12326"/>
                </a:ext>
                <a:ext uri="{FF2B5EF4-FFF2-40B4-BE49-F238E27FC236}">
                  <a16:creationId xmlns:a16="http://schemas.microsoft.com/office/drawing/2014/main" id="{00000000-0008-0000-0700-000026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2323</xdr:row>
          <xdr:rowOff>7620</xdr:rowOff>
        </xdr:from>
        <xdr:to>
          <xdr:col>9</xdr:col>
          <xdr:colOff>251460</xdr:colOff>
          <xdr:row>2324</xdr:row>
          <xdr:rowOff>0</xdr:rowOff>
        </xdr:to>
        <xdr:sp macro="" textlink="">
          <xdr:nvSpPr>
            <xdr:cNvPr id="12327" name="Button 39" hidden="1">
              <a:extLst>
                <a:ext uri="{63B3BB69-23CF-44E3-9099-C40C66FF867C}">
                  <a14:compatExt spid="_x0000_s12327"/>
                </a:ext>
                <a:ext uri="{FF2B5EF4-FFF2-40B4-BE49-F238E27FC236}">
                  <a16:creationId xmlns:a16="http://schemas.microsoft.com/office/drawing/2014/main" id="{00000000-0008-0000-0700-000027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xdr:twoCellAnchor>
    <xdr:from>
      <xdr:col>0</xdr:col>
      <xdr:colOff>0</xdr:colOff>
      <xdr:row>2326</xdr:row>
      <xdr:rowOff>83820</xdr:rowOff>
    </xdr:from>
    <xdr:to>
      <xdr:col>8</xdr:col>
      <xdr:colOff>543968</xdr:colOff>
      <xdr:row>2364</xdr:row>
      <xdr:rowOff>109526</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0" y="17244060"/>
          <a:ext cx="6563768" cy="581690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7620</xdr:colOff>
          <xdr:row>2368</xdr:row>
          <xdr:rowOff>7620</xdr:rowOff>
        </xdr:from>
        <xdr:to>
          <xdr:col>9</xdr:col>
          <xdr:colOff>251460</xdr:colOff>
          <xdr:row>2369</xdr:row>
          <xdr:rowOff>0</xdr:rowOff>
        </xdr:to>
        <xdr:sp macro="" textlink="">
          <xdr:nvSpPr>
            <xdr:cNvPr id="12329" name="Button 41" hidden="1">
              <a:extLst>
                <a:ext uri="{63B3BB69-23CF-44E3-9099-C40C66FF867C}">
                  <a14:compatExt spid="_x0000_s12329"/>
                </a:ext>
                <a:ext uri="{FF2B5EF4-FFF2-40B4-BE49-F238E27FC236}">
                  <a16:creationId xmlns:a16="http://schemas.microsoft.com/office/drawing/2014/main" id="{00000000-0008-0000-0700-000029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2389</xdr:row>
          <xdr:rowOff>7620</xdr:rowOff>
        </xdr:from>
        <xdr:to>
          <xdr:col>9</xdr:col>
          <xdr:colOff>251460</xdr:colOff>
          <xdr:row>2390</xdr:row>
          <xdr:rowOff>0</xdr:rowOff>
        </xdr:to>
        <xdr:sp macro="" textlink="">
          <xdr:nvSpPr>
            <xdr:cNvPr id="12330" name="Button 42" hidden="1">
              <a:extLst>
                <a:ext uri="{63B3BB69-23CF-44E3-9099-C40C66FF867C}">
                  <a14:compatExt spid="_x0000_s12330"/>
                </a:ext>
                <a:ext uri="{FF2B5EF4-FFF2-40B4-BE49-F238E27FC236}">
                  <a16:creationId xmlns:a16="http://schemas.microsoft.com/office/drawing/2014/main" id="{00000000-0008-0000-0700-00002A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2419</xdr:row>
          <xdr:rowOff>7620</xdr:rowOff>
        </xdr:from>
        <xdr:to>
          <xdr:col>9</xdr:col>
          <xdr:colOff>251460</xdr:colOff>
          <xdr:row>2420</xdr:row>
          <xdr:rowOff>0</xdr:rowOff>
        </xdr:to>
        <xdr:sp macro="" textlink="">
          <xdr:nvSpPr>
            <xdr:cNvPr id="12331" name="Button 43" hidden="1">
              <a:extLst>
                <a:ext uri="{63B3BB69-23CF-44E3-9099-C40C66FF867C}">
                  <a14:compatExt spid="_x0000_s12331"/>
                </a:ext>
                <a:ext uri="{FF2B5EF4-FFF2-40B4-BE49-F238E27FC236}">
                  <a16:creationId xmlns:a16="http://schemas.microsoft.com/office/drawing/2014/main" id="{00000000-0008-0000-0700-00002B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1617</xdr:row>
          <xdr:rowOff>7620</xdr:rowOff>
        </xdr:from>
        <xdr:to>
          <xdr:col>9</xdr:col>
          <xdr:colOff>251460</xdr:colOff>
          <xdr:row>2233</xdr:row>
          <xdr:rowOff>22860</xdr:rowOff>
        </xdr:to>
        <xdr:sp macro="" textlink="">
          <xdr:nvSpPr>
            <xdr:cNvPr id="12332" name="Button 44" hidden="1">
              <a:extLst>
                <a:ext uri="{63B3BB69-23CF-44E3-9099-C40C66FF867C}">
                  <a14:compatExt spid="_x0000_s12332"/>
                </a:ext>
                <a:ext uri="{FF2B5EF4-FFF2-40B4-BE49-F238E27FC236}">
                  <a16:creationId xmlns:a16="http://schemas.microsoft.com/office/drawing/2014/main" id="{00000000-0008-0000-0700-00002C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30480</xdr:colOff>
          <xdr:row>0</xdr:row>
          <xdr:rowOff>0</xdr:rowOff>
        </xdr:from>
        <xdr:to>
          <xdr:col>8</xdr:col>
          <xdr:colOff>211455</xdr:colOff>
          <xdr:row>1</xdr:row>
          <xdr:rowOff>15240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0800-0000011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14</xdr:row>
          <xdr:rowOff>22860</xdr:rowOff>
        </xdr:from>
        <xdr:to>
          <xdr:col>8</xdr:col>
          <xdr:colOff>211455</xdr:colOff>
          <xdr:row>14</xdr:row>
          <xdr:rowOff>205740</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0800-0000021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26</xdr:row>
          <xdr:rowOff>38100</xdr:rowOff>
        </xdr:from>
        <xdr:to>
          <xdr:col>8</xdr:col>
          <xdr:colOff>211455</xdr:colOff>
          <xdr:row>27</xdr:row>
          <xdr:rowOff>0</xdr:rowOff>
        </xdr:to>
        <xdr:sp macro="" textlink="">
          <xdr:nvSpPr>
            <xdr:cNvPr id="6147" name="Button 3" hidden="1">
              <a:extLst>
                <a:ext uri="{63B3BB69-23CF-44E3-9099-C40C66FF867C}">
                  <a14:compatExt spid="_x0000_s6147"/>
                </a:ext>
                <a:ext uri="{FF2B5EF4-FFF2-40B4-BE49-F238E27FC236}">
                  <a16:creationId xmlns:a16="http://schemas.microsoft.com/office/drawing/2014/main" id="{00000000-0008-0000-0800-0000031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782955</xdr:colOff>
          <xdr:row>5</xdr:row>
          <xdr:rowOff>129540</xdr:rowOff>
        </xdr:from>
        <xdr:to>
          <xdr:col>26</xdr:col>
          <xdr:colOff>205740</xdr:colOff>
          <xdr:row>7</xdr:row>
          <xdr:rowOff>0</xdr:rowOff>
        </xdr:to>
        <xdr:sp macro="" textlink="">
          <xdr:nvSpPr>
            <xdr:cNvPr id="6148" name="Button 4" hidden="1">
              <a:extLst>
                <a:ext uri="{63B3BB69-23CF-44E3-9099-C40C66FF867C}">
                  <a14:compatExt spid="_x0000_s6148"/>
                </a:ext>
                <a:ext uri="{FF2B5EF4-FFF2-40B4-BE49-F238E27FC236}">
                  <a16:creationId xmlns:a16="http://schemas.microsoft.com/office/drawing/2014/main" id="{00000000-0008-0000-0800-000004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1) xml schreiben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54</xdr:row>
          <xdr:rowOff>22860</xdr:rowOff>
        </xdr:from>
        <xdr:to>
          <xdr:col>8</xdr:col>
          <xdr:colOff>211455</xdr:colOff>
          <xdr:row>54</xdr:row>
          <xdr:rowOff>205740</xdr:rowOff>
        </xdr:to>
        <xdr:sp macro="" textlink="">
          <xdr:nvSpPr>
            <xdr:cNvPr id="6149" name="Button 5" hidden="1">
              <a:extLst>
                <a:ext uri="{63B3BB69-23CF-44E3-9099-C40C66FF867C}">
                  <a14:compatExt spid="_x0000_s6149"/>
                </a:ext>
                <a:ext uri="{FF2B5EF4-FFF2-40B4-BE49-F238E27FC236}">
                  <a16:creationId xmlns:a16="http://schemas.microsoft.com/office/drawing/2014/main" id="{00000000-0008-0000-0800-0000051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58</xdr:row>
          <xdr:rowOff>38100</xdr:rowOff>
        </xdr:from>
        <xdr:to>
          <xdr:col>8</xdr:col>
          <xdr:colOff>211455</xdr:colOff>
          <xdr:row>59</xdr:row>
          <xdr:rowOff>15240</xdr:rowOff>
        </xdr:to>
        <xdr:sp macro="" textlink="">
          <xdr:nvSpPr>
            <xdr:cNvPr id="6150" name="Button 6" hidden="1">
              <a:extLst>
                <a:ext uri="{63B3BB69-23CF-44E3-9099-C40C66FF867C}">
                  <a14:compatExt spid="_x0000_s6150"/>
                </a:ext>
                <a:ext uri="{FF2B5EF4-FFF2-40B4-BE49-F238E27FC236}">
                  <a16:creationId xmlns:a16="http://schemas.microsoft.com/office/drawing/2014/main" id="{00000000-0008-0000-0800-0000061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62</xdr:row>
          <xdr:rowOff>45720</xdr:rowOff>
        </xdr:from>
        <xdr:to>
          <xdr:col>8</xdr:col>
          <xdr:colOff>205740</xdr:colOff>
          <xdr:row>63</xdr:row>
          <xdr:rowOff>19050</xdr:rowOff>
        </xdr:to>
        <xdr:sp macro="" textlink="">
          <xdr:nvSpPr>
            <xdr:cNvPr id="6722" name="Button 578" hidden="1">
              <a:extLst>
                <a:ext uri="{63B3BB69-23CF-44E3-9099-C40C66FF867C}">
                  <a14:compatExt spid="_x0000_s6722"/>
                </a:ext>
                <a:ext uri="{FF2B5EF4-FFF2-40B4-BE49-F238E27FC236}">
                  <a16:creationId xmlns:a16="http://schemas.microsoft.com/office/drawing/2014/main" id="{00000000-0008-0000-0800-0000421A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122</xdr:row>
          <xdr:rowOff>60960</xdr:rowOff>
        </xdr:from>
        <xdr:to>
          <xdr:col>8</xdr:col>
          <xdr:colOff>211455</xdr:colOff>
          <xdr:row>123</xdr:row>
          <xdr:rowOff>0</xdr:rowOff>
        </xdr:to>
        <xdr:sp macro="" textlink="">
          <xdr:nvSpPr>
            <xdr:cNvPr id="6725" name="Button 581" hidden="1">
              <a:extLst>
                <a:ext uri="{63B3BB69-23CF-44E3-9099-C40C66FF867C}">
                  <a14:compatExt spid="_x0000_s6725"/>
                </a:ext>
                <a:ext uri="{FF2B5EF4-FFF2-40B4-BE49-F238E27FC236}">
                  <a16:creationId xmlns:a16="http://schemas.microsoft.com/office/drawing/2014/main" id="{00000000-0008-0000-0800-0000451A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142</xdr:row>
          <xdr:rowOff>22860</xdr:rowOff>
        </xdr:from>
        <xdr:to>
          <xdr:col>8</xdr:col>
          <xdr:colOff>211455</xdr:colOff>
          <xdr:row>143</xdr:row>
          <xdr:rowOff>0</xdr:rowOff>
        </xdr:to>
        <xdr:sp macro="" textlink="">
          <xdr:nvSpPr>
            <xdr:cNvPr id="6726" name="Button 582" hidden="1">
              <a:extLst>
                <a:ext uri="{63B3BB69-23CF-44E3-9099-C40C66FF867C}">
                  <a14:compatExt spid="_x0000_s6726"/>
                </a:ext>
                <a:ext uri="{FF2B5EF4-FFF2-40B4-BE49-F238E27FC236}">
                  <a16:creationId xmlns:a16="http://schemas.microsoft.com/office/drawing/2014/main" id="{00000000-0008-0000-0800-0000461A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154</xdr:row>
          <xdr:rowOff>22860</xdr:rowOff>
        </xdr:from>
        <xdr:to>
          <xdr:col>8</xdr:col>
          <xdr:colOff>211455</xdr:colOff>
          <xdr:row>154</xdr:row>
          <xdr:rowOff>205740</xdr:rowOff>
        </xdr:to>
        <xdr:sp macro="" textlink="">
          <xdr:nvSpPr>
            <xdr:cNvPr id="6727" name="Button 583" hidden="1">
              <a:extLst>
                <a:ext uri="{63B3BB69-23CF-44E3-9099-C40C66FF867C}">
                  <a14:compatExt spid="_x0000_s6727"/>
                </a:ext>
                <a:ext uri="{FF2B5EF4-FFF2-40B4-BE49-F238E27FC236}">
                  <a16:creationId xmlns:a16="http://schemas.microsoft.com/office/drawing/2014/main" id="{00000000-0008-0000-0800-0000471A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782955</xdr:colOff>
          <xdr:row>7</xdr:row>
          <xdr:rowOff>15240</xdr:rowOff>
        </xdr:from>
        <xdr:to>
          <xdr:col>26</xdr:col>
          <xdr:colOff>205740</xdr:colOff>
          <xdr:row>8</xdr:row>
          <xdr:rowOff>76200</xdr:rowOff>
        </xdr:to>
        <xdr:sp macro="" textlink="">
          <xdr:nvSpPr>
            <xdr:cNvPr id="12217" name="Button 3001" hidden="1">
              <a:extLst>
                <a:ext uri="{63B3BB69-23CF-44E3-9099-C40C66FF867C}">
                  <a14:compatExt spid="_x0000_s12217"/>
                </a:ext>
                <a:ext uri="{FF2B5EF4-FFF2-40B4-BE49-F238E27FC236}">
                  <a16:creationId xmlns:a16="http://schemas.microsoft.com/office/drawing/2014/main" id="{00000000-0008-0000-0800-0000B92F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2a) Vorschau pdf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26</xdr:col>
          <xdr:colOff>152400</xdr:colOff>
          <xdr:row>0</xdr:row>
          <xdr:rowOff>19050</xdr:rowOff>
        </xdr:from>
        <xdr:to>
          <xdr:col>28</xdr:col>
          <xdr:colOff>323850</xdr:colOff>
          <xdr:row>1</xdr:row>
          <xdr:rowOff>20955</xdr:rowOff>
        </xdr:to>
        <xdr:sp macro="" textlink="">
          <xdr:nvSpPr>
            <xdr:cNvPr id="16414" name="stLilaAnAus" hidden="1">
              <a:extLst>
                <a:ext uri="{63B3BB69-23CF-44E3-9099-C40C66FF867C}">
                  <a14:compatExt spid="_x0000_s16414"/>
                </a:ext>
                <a:ext uri="{FF2B5EF4-FFF2-40B4-BE49-F238E27FC236}">
                  <a16:creationId xmlns:a16="http://schemas.microsoft.com/office/drawing/2014/main" id="{00000000-0008-0000-0800-00001E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editierbare Zellen farbig an/aus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3</xdr:row>
          <xdr:rowOff>22860</xdr:rowOff>
        </xdr:from>
        <xdr:to>
          <xdr:col>8</xdr:col>
          <xdr:colOff>211455</xdr:colOff>
          <xdr:row>3</xdr:row>
          <xdr:rowOff>205740</xdr:rowOff>
        </xdr:to>
        <xdr:sp macro="" textlink="">
          <xdr:nvSpPr>
            <xdr:cNvPr id="16415" name="Button 3103" hidden="1">
              <a:extLst>
                <a:ext uri="{63B3BB69-23CF-44E3-9099-C40C66FF867C}">
                  <a14:compatExt spid="_x0000_s16415"/>
                </a:ext>
                <a:ext uri="{FF2B5EF4-FFF2-40B4-BE49-F238E27FC236}">
                  <a16:creationId xmlns:a16="http://schemas.microsoft.com/office/drawing/2014/main" id="{00000000-0008-0000-0800-00001F4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197</xdr:row>
          <xdr:rowOff>22860</xdr:rowOff>
        </xdr:from>
        <xdr:to>
          <xdr:col>8</xdr:col>
          <xdr:colOff>211455</xdr:colOff>
          <xdr:row>197</xdr:row>
          <xdr:rowOff>205740</xdr:rowOff>
        </xdr:to>
        <xdr:sp macro="" textlink="">
          <xdr:nvSpPr>
            <xdr:cNvPr id="16416" name="Button 3104" hidden="1">
              <a:extLst>
                <a:ext uri="{63B3BB69-23CF-44E3-9099-C40C66FF867C}">
                  <a14:compatExt spid="_x0000_s16416"/>
                </a:ext>
                <a:ext uri="{FF2B5EF4-FFF2-40B4-BE49-F238E27FC236}">
                  <a16:creationId xmlns:a16="http://schemas.microsoft.com/office/drawing/2014/main" id="{00000000-0008-0000-0800-0000204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116</xdr:row>
          <xdr:rowOff>60960</xdr:rowOff>
        </xdr:from>
        <xdr:to>
          <xdr:col>8</xdr:col>
          <xdr:colOff>211455</xdr:colOff>
          <xdr:row>117</xdr:row>
          <xdr:rowOff>15240</xdr:rowOff>
        </xdr:to>
        <xdr:sp macro="" textlink="">
          <xdr:nvSpPr>
            <xdr:cNvPr id="16418" name="Button 3106" hidden="1">
              <a:extLst>
                <a:ext uri="{63B3BB69-23CF-44E3-9099-C40C66FF867C}">
                  <a14:compatExt spid="_x0000_s16418"/>
                </a:ext>
                <a:ext uri="{FF2B5EF4-FFF2-40B4-BE49-F238E27FC236}">
                  <a16:creationId xmlns:a16="http://schemas.microsoft.com/office/drawing/2014/main" id="{00000000-0008-0000-0800-0000224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114</xdr:row>
          <xdr:rowOff>38100</xdr:rowOff>
        </xdr:from>
        <xdr:to>
          <xdr:col>8</xdr:col>
          <xdr:colOff>211455</xdr:colOff>
          <xdr:row>115</xdr:row>
          <xdr:rowOff>15240</xdr:rowOff>
        </xdr:to>
        <xdr:sp macro="" textlink="">
          <xdr:nvSpPr>
            <xdr:cNvPr id="16423" name="Button 3111" hidden="1">
              <a:extLst>
                <a:ext uri="{63B3BB69-23CF-44E3-9099-C40C66FF867C}">
                  <a14:compatExt spid="_x0000_s16423"/>
                </a:ext>
                <a:ext uri="{FF2B5EF4-FFF2-40B4-BE49-F238E27FC236}">
                  <a16:creationId xmlns:a16="http://schemas.microsoft.com/office/drawing/2014/main" id="{00000000-0008-0000-0800-0000274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22860</xdr:colOff>
          <xdr:row>1</xdr:row>
          <xdr:rowOff>22860</xdr:rowOff>
        </xdr:from>
        <xdr:to>
          <xdr:col>9</xdr:col>
          <xdr:colOff>205740</xdr:colOff>
          <xdr:row>2</xdr:row>
          <xdr:rowOff>53340</xdr:rowOff>
        </xdr:to>
        <xdr:sp macro="" textlink="">
          <xdr:nvSpPr>
            <xdr:cNvPr id="16425" name="Button 3113" hidden="1">
              <a:extLst>
                <a:ext uri="{63B3BB69-23CF-44E3-9099-C40C66FF867C}">
                  <a14:compatExt spid="_x0000_s16425"/>
                </a:ext>
                <a:ext uri="{FF2B5EF4-FFF2-40B4-BE49-F238E27FC236}">
                  <a16:creationId xmlns:a16="http://schemas.microsoft.com/office/drawing/2014/main" id="{00000000-0008-0000-0800-0000294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782955</xdr:colOff>
          <xdr:row>8</xdr:row>
          <xdr:rowOff>114300</xdr:rowOff>
        </xdr:from>
        <xdr:to>
          <xdr:col>26</xdr:col>
          <xdr:colOff>205740</xdr:colOff>
          <xdr:row>9</xdr:row>
          <xdr:rowOff>152400</xdr:rowOff>
        </xdr:to>
        <xdr:sp macro="" textlink="">
          <xdr:nvSpPr>
            <xdr:cNvPr id="16427" name="Button 3115" hidden="1">
              <a:extLst>
                <a:ext uri="{63B3BB69-23CF-44E3-9099-C40C66FF867C}">
                  <a14:compatExt spid="_x0000_s16427"/>
                </a:ext>
                <a:ext uri="{FF2B5EF4-FFF2-40B4-BE49-F238E27FC236}">
                  <a16:creationId xmlns:a16="http://schemas.microsoft.com/office/drawing/2014/main" id="{00000000-0008-0000-0800-00002B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2b) Registrierung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706755</xdr:colOff>
          <xdr:row>5</xdr:row>
          <xdr:rowOff>0</xdr:rowOff>
        </xdr:from>
        <xdr:to>
          <xdr:col>26</xdr:col>
          <xdr:colOff>363855</xdr:colOff>
          <xdr:row>10</xdr:row>
          <xdr:rowOff>0</xdr:rowOff>
        </xdr:to>
        <xdr:sp macro="" textlink="">
          <xdr:nvSpPr>
            <xdr:cNvPr id="16428" name="Group Box 3116" hidden="1">
              <a:extLst>
                <a:ext uri="{63B3BB69-23CF-44E3-9099-C40C66FF867C}">
                  <a14:compatExt spid="_x0000_s16428"/>
                </a:ext>
                <a:ext uri="{FF2B5EF4-FFF2-40B4-BE49-F238E27FC236}">
                  <a16:creationId xmlns:a16="http://schemas.microsoft.com/office/drawing/2014/main" id="{00000000-0008-0000-0800-00002C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de-DE" sz="800" b="0" i="0" u="none" strike="noStrike" baseline="0">
                  <a:solidFill>
                    <a:srgbClr val="000000"/>
                  </a:solidFill>
                  <a:latin typeface="Segoe UI"/>
                  <a:cs typeface="Segoe UI"/>
                </a:rPr>
                <a:t>Steuerung Druckapplikation</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440055</xdr:colOff>
          <xdr:row>0</xdr:row>
          <xdr:rowOff>0</xdr:rowOff>
        </xdr:from>
        <xdr:to>
          <xdr:col>30</xdr:col>
          <xdr:colOff>167640</xdr:colOff>
          <xdr:row>1</xdr:row>
          <xdr:rowOff>57150</xdr:rowOff>
        </xdr:to>
        <xdr:sp macro="" textlink="">
          <xdr:nvSpPr>
            <xdr:cNvPr id="16429" name="Button 3117" hidden="1">
              <a:extLst>
                <a:ext uri="{63B3BB69-23CF-44E3-9099-C40C66FF867C}">
                  <a14:compatExt spid="_x0000_s16429"/>
                </a:ext>
                <a:ext uri="{FF2B5EF4-FFF2-40B4-BE49-F238E27FC236}">
                  <a16:creationId xmlns:a16="http://schemas.microsoft.com/office/drawing/2014/main" id="{00000000-0008-0000-0800-00002D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alle Einträge löschen</a:t>
              </a:r>
            </a:p>
          </xdr:txBody>
        </xdr:sp>
        <xdr:clientData fPrintsWithSheet="0"/>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vmlDrawing" Target="../drawings/vmlDrawing1.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2.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2.vml"/><Relationship Id="rId9"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0.xml"/><Relationship Id="rId13" Type="http://schemas.openxmlformats.org/officeDocument/2006/relationships/ctrlProp" Target="../ctrlProps/ctrlProp15.xml"/><Relationship Id="rId18" Type="http://schemas.openxmlformats.org/officeDocument/2006/relationships/ctrlProp" Target="../ctrlProps/ctrlProp20.xml"/><Relationship Id="rId26" Type="http://schemas.openxmlformats.org/officeDocument/2006/relationships/ctrlProp" Target="../ctrlProps/ctrlProp28.xml"/><Relationship Id="rId3" Type="http://schemas.openxmlformats.org/officeDocument/2006/relationships/vmlDrawing" Target="../drawings/vmlDrawing3.vml"/><Relationship Id="rId21" Type="http://schemas.openxmlformats.org/officeDocument/2006/relationships/ctrlProp" Target="../ctrlProps/ctrlProp23.xml"/><Relationship Id="rId7" Type="http://schemas.openxmlformats.org/officeDocument/2006/relationships/ctrlProp" Target="../ctrlProps/ctrlProp9.xml"/><Relationship Id="rId12" Type="http://schemas.openxmlformats.org/officeDocument/2006/relationships/ctrlProp" Target="../ctrlProps/ctrlProp14.xml"/><Relationship Id="rId17" Type="http://schemas.openxmlformats.org/officeDocument/2006/relationships/ctrlProp" Target="../ctrlProps/ctrlProp19.xml"/><Relationship Id="rId25" Type="http://schemas.openxmlformats.org/officeDocument/2006/relationships/ctrlProp" Target="../ctrlProps/ctrlProp27.xml"/><Relationship Id="rId2" Type="http://schemas.openxmlformats.org/officeDocument/2006/relationships/drawing" Target="../drawings/drawing2.xml"/><Relationship Id="rId16" Type="http://schemas.openxmlformats.org/officeDocument/2006/relationships/ctrlProp" Target="../ctrlProps/ctrlProp18.xml"/><Relationship Id="rId20" Type="http://schemas.openxmlformats.org/officeDocument/2006/relationships/ctrlProp" Target="../ctrlProps/ctrlProp22.xml"/><Relationship Id="rId29" Type="http://schemas.openxmlformats.org/officeDocument/2006/relationships/ctrlProp" Target="../ctrlProps/ctrlProp31.xml"/><Relationship Id="rId1" Type="http://schemas.openxmlformats.org/officeDocument/2006/relationships/printerSettings" Target="../printerSettings/printerSettings2.bin"/><Relationship Id="rId6" Type="http://schemas.openxmlformats.org/officeDocument/2006/relationships/ctrlProp" Target="../ctrlProps/ctrlProp8.xml"/><Relationship Id="rId11" Type="http://schemas.openxmlformats.org/officeDocument/2006/relationships/ctrlProp" Target="../ctrlProps/ctrlProp13.xml"/><Relationship Id="rId24" Type="http://schemas.openxmlformats.org/officeDocument/2006/relationships/ctrlProp" Target="../ctrlProps/ctrlProp26.xml"/><Relationship Id="rId5" Type="http://schemas.openxmlformats.org/officeDocument/2006/relationships/ctrlProp" Target="../ctrlProps/ctrlProp7.xml"/><Relationship Id="rId15" Type="http://schemas.openxmlformats.org/officeDocument/2006/relationships/ctrlProp" Target="../ctrlProps/ctrlProp17.xml"/><Relationship Id="rId23" Type="http://schemas.openxmlformats.org/officeDocument/2006/relationships/ctrlProp" Target="../ctrlProps/ctrlProp25.xml"/><Relationship Id="rId28" Type="http://schemas.openxmlformats.org/officeDocument/2006/relationships/ctrlProp" Target="../ctrlProps/ctrlProp30.xml"/><Relationship Id="rId10" Type="http://schemas.openxmlformats.org/officeDocument/2006/relationships/ctrlProp" Target="../ctrlProps/ctrlProp12.xml"/><Relationship Id="rId19" Type="http://schemas.openxmlformats.org/officeDocument/2006/relationships/ctrlProp" Target="../ctrlProps/ctrlProp21.xml"/><Relationship Id="rId4" Type="http://schemas.openxmlformats.org/officeDocument/2006/relationships/vmlDrawing" Target="../drawings/vmlDrawing4.vml"/><Relationship Id="rId9" Type="http://schemas.openxmlformats.org/officeDocument/2006/relationships/ctrlProp" Target="../ctrlProps/ctrlProp11.xml"/><Relationship Id="rId14" Type="http://schemas.openxmlformats.org/officeDocument/2006/relationships/ctrlProp" Target="../ctrlProps/ctrlProp16.xml"/><Relationship Id="rId22" Type="http://schemas.openxmlformats.org/officeDocument/2006/relationships/ctrlProp" Target="../ctrlProps/ctrlProp24.xml"/><Relationship Id="rId27" Type="http://schemas.openxmlformats.org/officeDocument/2006/relationships/ctrlProp" Target="../ctrlProps/ctrlProp29.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3" Type="http://schemas.openxmlformats.org/officeDocument/2006/relationships/vmlDrawing" Target="../drawings/vmlDrawing5.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 Type="http://schemas.openxmlformats.org/officeDocument/2006/relationships/drawing" Target="../drawings/drawing3.xml"/><Relationship Id="rId16" Type="http://schemas.openxmlformats.org/officeDocument/2006/relationships/ctrlProp" Target="../ctrlProps/ctrlProp43.xml"/><Relationship Id="rId20" Type="http://schemas.openxmlformats.org/officeDocument/2006/relationships/ctrlProp" Target="../ctrlProps/ctrlProp47.xml"/><Relationship Id="rId1" Type="http://schemas.openxmlformats.org/officeDocument/2006/relationships/printerSettings" Target="../printerSettings/printerSettings3.bin"/><Relationship Id="rId6" Type="http://schemas.openxmlformats.org/officeDocument/2006/relationships/ctrlProp" Target="../ctrlProps/ctrlProp33.xml"/><Relationship Id="rId11" Type="http://schemas.openxmlformats.org/officeDocument/2006/relationships/ctrlProp" Target="../ctrlProps/ctrlProp38.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10" Type="http://schemas.openxmlformats.org/officeDocument/2006/relationships/ctrlProp" Target="../ctrlProps/ctrlProp37.xml"/><Relationship Id="rId19" Type="http://schemas.openxmlformats.org/officeDocument/2006/relationships/ctrlProp" Target="../ctrlProps/ctrlProp46.xml"/><Relationship Id="rId4" Type="http://schemas.openxmlformats.org/officeDocument/2006/relationships/vmlDrawing" Target="../drawings/vmlDrawing6.v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4.xml"/><Relationship Id="rId13" Type="http://schemas.openxmlformats.org/officeDocument/2006/relationships/ctrlProp" Target="../ctrlProps/ctrlProp59.xml"/><Relationship Id="rId18" Type="http://schemas.openxmlformats.org/officeDocument/2006/relationships/ctrlProp" Target="../ctrlProps/ctrlProp64.xml"/><Relationship Id="rId26" Type="http://schemas.openxmlformats.org/officeDocument/2006/relationships/ctrlProp" Target="../ctrlProps/ctrlProp72.xml"/><Relationship Id="rId3" Type="http://schemas.openxmlformats.org/officeDocument/2006/relationships/vmlDrawing" Target="../drawings/vmlDrawing7.vml"/><Relationship Id="rId21" Type="http://schemas.openxmlformats.org/officeDocument/2006/relationships/ctrlProp" Target="../ctrlProps/ctrlProp67.xml"/><Relationship Id="rId7" Type="http://schemas.openxmlformats.org/officeDocument/2006/relationships/ctrlProp" Target="../ctrlProps/ctrlProp53.xml"/><Relationship Id="rId12" Type="http://schemas.openxmlformats.org/officeDocument/2006/relationships/ctrlProp" Target="../ctrlProps/ctrlProp58.xml"/><Relationship Id="rId17" Type="http://schemas.openxmlformats.org/officeDocument/2006/relationships/ctrlProp" Target="../ctrlProps/ctrlProp63.xml"/><Relationship Id="rId25" Type="http://schemas.openxmlformats.org/officeDocument/2006/relationships/ctrlProp" Target="../ctrlProps/ctrlProp71.xml"/><Relationship Id="rId2" Type="http://schemas.openxmlformats.org/officeDocument/2006/relationships/drawing" Target="../drawings/drawing4.xml"/><Relationship Id="rId16" Type="http://schemas.openxmlformats.org/officeDocument/2006/relationships/ctrlProp" Target="../ctrlProps/ctrlProp62.xml"/><Relationship Id="rId20" Type="http://schemas.openxmlformats.org/officeDocument/2006/relationships/ctrlProp" Target="../ctrlProps/ctrlProp66.xml"/><Relationship Id="rId29" Type="http://schemas.openxmlformats.org/officeDocument/2006/relationships/ctrlProp" Target="../ctrlProps/ctrlProp75.xml"/><Relationship Id="rId1" Type="http://schemas.openxmlformats.org/officeDocument/2006/relationships/printerSettings" Target="../printerSettings/printerSettings4.bin"/><Relationship Id="rId6" Type="http://schemas.openxmlformats.org/officeDocument/2006/relationships/ctrlProp" Target="../ctrlProps/ctrlProp52.xml"/><Relationship Id="rId11" Type="http://schemas.openxmlformats.org/officeDocument/2006/relationships/ctrlProp" Target="../ctrlProps/ctrlProp57.xml"/><Relationship Id="rId24" Type="http://schemas.openxmlformats.org/officeDocument/2006/relationships/ctrlProp" Target="../ctrlProps/ctrlProp70.xml"/><Relationship Id="rId32" Type="http://schemas.openxmlformats.org/officeDocument/2006/relationships/ctrlProp" Target="../ctrlProps/ctrlProp78.xml"/><Relationship Id="rId5" Type="http://schemas.openxmlformats.org/officeDocument/2006/relationships/ctrlProp" Target="../ctrlProps/ctrlProp51.xml"/><Relationship Id="rId15" Type="http://schemas.openxmlformats.org/officeDocument/2006/relationships/ctrlProp" Target="../ctrlProps/ctrlProp61.xml"/><Relationship Id="rId23" Type="http://schemas.openxmlformats.org/officeDocument/2006/relationships/ctrlProp" Target="../ctrlProps/ctrlProp69.xml"/><Relationship Id="rId28" Type="http://schemas.openxmlformats.org/officeDocument/2006/relationships/ctrlProp" Target="../ctrlProps/ctrlProp74.xml"/><Relationship Id="rId10" Type="http://schemas.openxmlformats.org/officeDocument/2006/relationships/ctrlProp" Target="../ctrlProps/ctrlProp56.xml"/><Relationship Id="rId19" Type="http://schemas.openxmlformats.org/officeDocument/2006/relationships/ctrlProp" Target="../ctrlProps/ctrlProp65.xml"/><Relationship Id="rId31" Type="http://schemas.openxmlformats.org/officeDocument/2006/relationships/ctrlProp" Target="../ctrlProps/ctrlProp77.xml"/><Relationship Id="rId4" Type="http://schemas.openxmlformats.org/officeDocument/2006/relationships/vmlDrawing" Target="../drawings/vmlDrawing8.vml"/><Relationship Id="rId9" Type="http://schemas.openxmlformats.org/officeDocument/2006/relationships/ctrlProp" Target="../ctrlProps/ctrlProp55.xml"/><Relationship Id="rId14" Type="http://schemas.openxmlformats.org/officeDocument/2006/relationships/ctrlProp" Target="../ctrlProps/ctrlProp60.xml"/><Relationship Id="rId22" Type="http://schemas.openxmlformats.org/officeDocument/2006/relationships/ctrlProp" Target="../ctrlProps/ctrlProp68.xml"/><Relationship Id="rId27" Type="http://schemas.openxmlformats.org/officeDocument/2006/relationships/ctrlProp" Target="../ctrlProps/ctrlProp73.xml"/><Relationship Id="rId30" Type="http://schemas.openxmlformats.org/officeDocument/2006/relationships/ctrlProp" Target="../ctrlProps/ctrlProp7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82.xml"/><Relationship Id="rId13" Type="http://schemas.openxmlformats.org/officeDocument/2006/relationships/ctrlProp" Target="../ctrlProps/ctrlProp87.xml"/><Relationship Id="rId18" Type="http://schemas.openxmlformats.org/officeDocument/2006/relationships/ctrlProp" Target="../ctrlProps/ctrlProp92.xml"/><Relationship Id="rId3" Type="http://schemas.openxmlformats.org/officeDocument/2006/relationships/vmlDrawing" Target="../drawings/vmlDrawing9.vml"/><Relationship Id="rId7" Type="http://schemas.openxmlformats.org/officeDocument/2006/relationships/ctrlProp" Target="../ctrlProps/ctrlProp81.xml"/><Relationship Id="rId12" Type="http://schemas.openxmlformats.org/officeDocument/2006/relationships/ctrlProp" Target="../ctrlProps/ctrlProp86.xml"/><Relationship Id="rId17" Type="http://schemas.openxmlformats.org/officeDocument/2006/relationships/ctrlProp" Target="../ctrlProps/ctrlProp91.xml"/><Relationship Id="rId2" Type="http://schemas.openxmlformats.org/officeDocument/2006/relationships/drawing" Target="../drawings/drawing5.xml"/><Relationship Id="rId16" Type="http://schemas.openxmlformats.org/officeDocument/2006/relationships/ctrlProp" Target="../ctrlProps/ctrlProp90.xml"/><Relationship Id="rId1" Type="http://schemas.openxmlformats.org/officeDocument/2006/relationships/printerSettings" Target="../printerSettings/printerSettings5.bin"/><Relationship Id="rId6" Type="http://schemas.openxmlformats.org/officeDocument/2006/relationships/ctrlProp" Target="../ctrlProps/ctrlProp80.xml"/><Relationship Id="rId11" Type="http://schemas.openxmlformats.org/officeDocument/2006/relationships/ctrlProp" Target="../ctrlProps/ctrlProp85.xml"/><Relationship Id="rId5" Type="http://schemas.openxmlformats.org/officeDocument/2006/relationships/ctrlProp" Target="../ctrlProps/ctrlProp79.xml"/><Relationship Id="rId15" Type="http://schemas.openxmlformats.org/officeDocument/2006/relationships/ctrlProp" Target="../ctrlProps/ctrlProp89.xml"/><Relationship Id="rId10" Type="http://schemas.openxmlformats.org/officeDocument/2006/relationships/ctrlProp" Target="../ctrlProps/ctrlProp84.xml"/><Relationship Id="rId19" Type="http://schemas.openxmlformats.org/officeDocument/2006/relationships/ctrlProp" Target="../ctrlProps/ctrlProp93.xml"/><Relationship Id="rId4" Type="http://schemas.openxmlformats.org/officeDocument/2006/relationships/vmlDrawing" Target="../drawings/vmlDrawing10.vml"/><Relationship Id="rId9" Type="http://schemas.openxmlformats.org/officeDocument/2006/relationships/ctrlProp" Target="../ctrlProps/ctrlProp83.xml"/><Relationship Id="rId14" Type="http://schemas.openxmlformats.org/officeDocument/2006/relationships/ctrlProp" Target="../ctrlProps/ctrlProp88.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97.xml"/><Relationship Id="rId13" Type="http://schemas.openxmlformats.org/officeDocument/2006/relationships/ctrlProp" Target="../ctrlProps/ctrlProp102.xml"/><Relationship Id="rId3" Type="http://schemas.openxmlformats.org/officeDocument/2006/relationships/vmlDrawing" Target="../drawings/vmlDrawing11.vml"/><Relationship Id="rId7" Type="http://schemas.openxmlformats.org/officeDocument/2006/relationships/ctrlProp" Target="../ctrlProps/ctrlProp96.xml"/><Relationship Id="rId12" Type="http://schemas.openxmlformats.org/officeDocument/2006/relationships/ctrlProp" Target="../ctrlProps/ctrlProp101.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95.xml"/><Relationship Id="rId11" Type="http://schemas.openxmlformats.org/officeDocument/2006/relationships/ctrlProp" Target="../ctrlProps/ctrlProp100.xml"/><Relationship Id="rId5" Type="http://schemas.openxmlformats.org/officeDocument/2006/relationships/ctrlProp" Target="../ctrlProps/ctrlProp94.xml"/><Relationship Id="rId15" Type="http://schemas.openxmlformats.org/officeDocument/2006/relationships/ctrlProp" Target="../ctrlProps/ctrlProp104.xml"/><Relationship Id="rId10" Type="http://schemas.openxmlformats.org/officeDocument/2006/relationships/ctrlProp" Target="../ctrlProps/ctrlProp99.xml"/><Relationship Id="rId4" Type="http://schemas.openxmlformats.org/officeDocument/2006/relationships/vmlDrawing" Target="../drawings/vmlDrawing12.vml"/><Relationship Id="rId9" Type="http://schemas.openxmlformats.org/officeDocument/2006/relationships/ctrlProp" Target="../ctrlProps/ctrlProp98.xml"/><Relationship Id="rId14" Type="http://schemas.openxmlformats.org/officeDocument/2006/relationships/ctrlProp" Target="../ctrlProps/ctrlProp10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08.xml"/><Relationship Id="rId3" Type="http://schemas.openxmlformats.org/officeDocument/2006/relationships/vmlDrawing" Target="../drawings/vmlDrawing13.vml"/><Relationship Id="rId7" Type="http://schemas.openxmlformats.org/officeDocument/2006/relationships/ctrlProp" Target="../ctrlProps/ctrlProp107.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106.xml"/><Relationship Id="rId5" Type="http://schemas.openxmlformats.org/officeDocument/2006/relationships/ctrlProp" Target="../ctrlProps/ctrlProp105.xml"/><Relationship Id="rId10" Type="http://schemas.openxmlformats.org/officeDocument/2006/relationships/ctrlProp" Target="../ctrlProps/ctrlProp110.xml"/><Relationship Id="rId4" Type="http://schemas.openxmlformats.org/officeDocument/2006/relationships/vmlDrawing" Target="../drawings/vmlDrawing14.vml"/><Relationship Id="rId9" Type="http://schemas.openxmlformats.org/officeDocument/2006/relationships/ctrlProp" Target="../ctrlProps/ctrlProp109.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13.xml"/><Relationship Id="rId13" Type="http://schemas.openxmlformats.org/officeDocument/2006/relationships/ctrlProp" Target="../ctrlProps/ctrlProp118.xml"/><Relationship Id="rId18" Type="http://schemas.openxmlformats.org/officeDocument/2006/relationships/ctrlProp" Target="../ctrlProps/ctrlProp123.xml"/><Relationship Id="rId26" Type="http://schemas.openxmlformats.org/officeDocument/2006/relationships/ctrlProp" Target="../ctrlProps/ctrlProp131.xml"/><Relationship Id="rId3" Type="http://schemas.openxmlformats.org/officeDocument/2006/relationships/drawing" Target="../drawings/drawing8.xml"/><Relationship Id="rId21" Type="http://schemas.openxmlformats.org/officeDocument/2006/relationships/ctrlProp" Target="../ctrlProps/ctrlProp126.xml"/><Relationship Id="rId7" Type="http://schemas.openxmlformats.org/officeDocument/2006/relationships/ctrlProp" Target="../ctrlProps/ctrlProp112.xml"/><Relationship Id="rId12" Type="http://schemas.openxmlformats.org/officeDocument/2006/relationships/ctrlProp" Target="../ctrlProps/ctrlProp117.xml"/><Relationship Id="rId17" Type="http://schemas.openxmlformats.org/officeDocument/2006/relationships/ctrlProp" Target="../ctrlProps/ctrlProp122.xml"/><Relationship Id="rId25" Type="http://schemas.openxmlformats.org/officeDocument/2006/relationships/ctrlProp" Target="../ctrlProps/ctrlProp130.xml"/><Relationship Id="rId2" Type="http://schemas.openxmlformats.org/officeDocument/2006/relationships/printerSettings" Target="../printerSettings/printerSettings8.bin"/><Relationship Id="rId16" Type="http://schemas.openxmlformats.org/officeDocument/2006/relationships/ctrlProp" Target="../ctrlProps/ctrlProp121.xml"/><Relationship Id="rId20" Type="http://schemas.openxmlformats.org/officeDocument/2006/relationships/ctrlProp" Target="../ctrlProps/ctrlProp125.xml"/><Relationship Id="rId29" Type="http://schemas.openxmlformats.org/officeDocument/2006/relationships/ctrlProp" Target="../ctrlProps/ctrlProp134.xml"/><Relationship Id="rId1" Type="http://schemas.openxmlformats.org/officeDocument/2006/relationships/hyperlink" Target="https://www.kfw.de/PDF/Download-Center/F%C3%B6rderprogramme-%28Inlandsf%C3%B6rderung%29/PDF-Dokumente/6000003465_M_153_EEB_TMA_2018_04.pdf" TargetMode="External"/><Relationship Id="rId6" Type="http://schemas.openxmlformats.org/officeDocument/2006/relationships/ctrlProp" Target="../ctrlProps/ctrlProp111.xml"/><Relationship Id="rId11" Type="http://schemas.openxmlformats.org/officeDocument/2006/relationships/ctrlProp" Target="../ctrlProps/ctrlProp116.xml"/><Relationship Id="rId24" Type="http://schemas.openxmlformats.org/officeDocument/2006/relationships/ctrlProp" Target="../ctrlProps/ctrlProp129.xml"/><Relationship Id="rId32" Type="http://schemas.openxmlformats.org/officeDocument/2006/relationships/comments" Target="../comments1.xml"/><Relationship Id="rId5" Type="http://schemas.openxmlformats.org/officeDocument/2006/relationships/vmlDrawing" Target="../drawings/vmlDrawing16.vml"/><Relationship Id="rId15" Type="http://schemas.openxmlformats.org/officeDocument/2006/relationships/ctrlProp" Target="../ctrlProps/ctrlProp120.xml"/><Relationship Id="rId23" Type="http://schemas.openxmlformats.org/officeDocument/2006/relationships/ctrlProp" Target="../ctrlProps/ctrlProp128.xml"/><Relationship Id="rId28" Type="http://schemas.openxmlformats.org/officeDocument/2006/relationships/ctrlProp" Target="../ctrlProps/ctrlProp133.xml"/><Relationship Id="rId10" Type="http://schemas.openxmlformats.org/officeDocument/2006/relationships/ctrlProp" Target="../ctrlProps/ctrlProp115.xml"/><Relationship Id="rId19" Type="http://schemas.openxmlformats.org/officeDocument/2006/relationships/ctrlProp" Target="../ctrlProps/ctrlProp124.xml"/><Relationship Id="rId31" Type="http://schemas.openxmlformats.org/officeDocument/2006/relationships/ctrlProp" Target="../ctrlProps/ctrlProp136.xml"/><Relationship Id="rId4" Type="http://schemas.openxmlformats.org/officeDocument/2006/relationships/vmlDrawing" Target="../drawings/vmlDrawing15.vml"/><Relationship Id="rId9" Type="http://schemas.openxmlformats.org/officeDocument/2006/relationships/ctrlProp" Target="../ctrlProps/ctrlProp114.xml"/><Relationship Id="rId14" Type="http://schemas.openxmlformats.org/officeDocument/2006/relationships/ctrlProp" Target="../ctrlProps/ctrlProp119.xml"/><Relationship Id="rId22" Type="http://schemas.openxmlformats.org/officeDocument/2006/relationships/ctrlProp" Target="../ctrlProps/ctrlProp127.xml"/><Relationship Id="rId27" Type="http://schemas.openxmlformats.org/officeDocument/2006/relationships/ctrlProp" Target="../ctrlProps/ctrlProp132.xml"/><Relationship Id="rId30" Type="http://schemas.openxmlformats.org/officeDocument/2006/relationships/ctrlProp" Target="../ctrlProps/ctrlProp135.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40.xml"/><Relationship Id="rId13" Type="http://schemas.openxmlformats.org/officeDocument/2006/relationships/ctrlProp" Target="../ctrlProps/ctrlProp145.xml"/><Relationship Id="rId18" Type="http://schemas.openxmlformats.org/officeDocument/2006/relationships/ctrlProp" Target="../ctrlProps/ctrlProp150.xml"/><Relationship Id="rId3" Type="http://schemas.openxmlformats.org/officeDocument/2006/relationships/vmlDrawing" Target="../drawings/vmlDrawing17.vml"/><Relationship Id="rId21" Type="http://schemas.openxmlformats.org/officeDocument/2006/relationships/ctrlProp" Target="../ctrlProps/ctrlProp153.xml"/><Relationship Id="rId7" Type="http://schemas.openxmlformats.org/officeDocument/2006/relationships/ctrlProp" Target="../ctrlProps/ctrlProp139.xml"/><Relationship Id="rId12" Type="http://schemas.openxmlformats.org/officeDocument/2006/relationships/ctrlProp" Target="../ctrlProps/ctrlProp144.xml"/><Relationship Id="rId17" Type="http://schemas.openxmlformats.org/officeDocument/2006/relationships/ctrlProp" Target="../ctrlProps/ctrlProp149.xml"/><Relationship Id="rId2" Type="http://schemas.openxmlformats.org/officeDocument/2006/relationships/drawing" Target="../drawings/drawing9.xml"/><Relationship Id="rId16" Type="http://schemas.openxmlformats.org/officeDocument/2006/relationships/ctrlProp" Target="../ctrlProps/ctrlProp148.xml"/><Relationship Id="rId20" Type="http://schemas.openxmlformats.org/officeDocument/2006/relationships/ctrlProp" Target="../ctrlProps/ctrlProp152.xml"/><Relationship Id="rId1" Type="http://schemas.openxmlformats.org/officeDocument/2006/relationships/printerSettings" Target="../printerSettings/printerSettings9.bin"/><Relationship Id="rId6" Type="http://schemas.openxmlformats.org/officeDocument/2006/relationships/ctrlProp" Target="../ctrlProps/ctrlProp138.xml"/><Relationship Id="rId11" Type="http://schemas.openxmlformats.org/officeDocument/2006/relationships/ctrlProp" Target="../ctrlProps/ctrlProp143.xml"/><Relationship Id="rId24" Type="http://schemas.openxmlformats.org/officeDocument/2006/relationships/ctrlProp" Target="../ctrlProps/ctrlProp156.xml"/><Relationship Id="rId5" Type="http://schemas.openxmlformats.org/officeDocument/2006/relationships/ctrlProp" Target="../ctrlProps/ctrlProp137.xml"/><Relationship Id="rId15" Type="http://schemas.openxmlformats.org/officeDocument/2006/relationships/ctrlProp" Target="../ctrlProps/ctrlProp147.xml"/><Relationship Id="rId23" Type="http://schemas.openxmlformats.org/officeDocument/2006/relationships/ctrlProp" Target="../ctrlProps/ctrlProp155.xml"/><Relationship Id="rId10" Type="http://schemas.openxmlformats.org/officeDocument/2006/relationships/ctrlProp" Target="../ctrlProps/ctrlProp142.xml"/><Relationship Id="rId19" Type="http://schemas.openxmlformats.org/officeDocument/2006/relationships/ctrlProp" Target="../ctrlProps/ctrlProp151.xml"/><Relationship Id="rId4" Type="http://schemas.openxmlformats.org/officeDocument/2006/relationships/vmlDrawing" Target="../drawings/vmlDrawing18.vml"/><Relationship Id="rId9" Type="http://schemas.openxmlformats.org/officeDocument/2006/relationships/ctrlProp" Target="../ctrlProps/ctrlProp141.xml"/><Relationship Id="rId14" Type="http://schemas.openxmlformats.org/officeDocument/2006/relationships/ctrlProp" Target="../ctrlProps/ctrlProp146.xml"/><Relationship Id="rId22" Type="http://schemas.openxmlformats.org/officeDocument/2006/relationships/ctrlProp" Target="../ctrlProps/ctrlProp15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8"/>
  <dimension ref="A1:K47"/>
  <sheetViews>
    <sheetView showGridLines="0" zoomScaleNormal="100" workbookViewId="0">
      <pane ySplit="3" topLeftCell="A4" activePane="bottomLeft" state="frozen"/>
      <selection pane="bottomLeft"/>
    </sheetView>
  </sheetViews>
  <sheetFormatPr baseColWidth="10" defaultColWidth="11.5546875" defaultRowHeight="13.8"/>
  <cols>
    <col min="1" max="1" width="3.109375" style="18" customWidth="1"/>
    <col min="2" max="2" width="26.33203125" style="18" customWidth="1"/>
    <col min="3" max="3" width="13.6640625" style="18" customWidth="1"/>
    <col min="4" max="4" width="12.33203125" style="18" customWidth="1"/>
    <col min="5" max="5" width="5.5546875" style="18" customWidth="1"/>
    <col min="6" max="6" width="7.44140625" style="18" customWidth="1"/>
    <col min="7" max="7" width="10" style="18" customWidth="1"/>
    <col min="8" max="8" width="8.6640625" style="18" customWidth="1"/>
    <col min="9" max="11" width="4.33203125" style="702" customWidth="1"/>
    <col min="12" max="16384" width="11.5546875" style="702"/>
  </cols>
  <sheetData>
    <row r="1" spans="1:11" ht="17.100000000000001" customHeight="1">
      <c r="A1" s="609" t="s">
        <v>2830</v>
      </c>
      <c r="B1" s="610"/>
      <c r="C1" s="611"/>
      <c r="D1" s="611"/>
      <c r="E1" s="611"/>
      <c r="F1" s="611"/>
      <c r="G1" s="611"/>
      <c r="H1" s="611"/>
      <c r="I1" s="1"/>
      <c r="J1" s="8" t="s">
        <v>299</v>
      </c>
      <c r="K1" s="1"/>
    </row>
    <row r="2" spans="1:11" ht="18" customHeight="1">
      <c r="A2" s="386" t="s">
        <v>3348</v>
      </c>
      <c r="B2" s="141"/>
      <c r="C2" s="24"/>
      <c r="D2" s="24"/>
      <c r="F2" s="141"/>
      <c r="G2" s="141"/>
      <c r="H2" s="1128"/>
      <c r="I2" s="1"/>
      <c r="J2" s="18"/>
      <c r="K2" s="1"/>
    </row>
    <row r="3" spans="1:11" ht="19.95" customHeight="1">
      <c r="A3" s="2" t="s">
        <v>32</v>
      </c>
      <c r="C3" s="134" t="str">
        <f>Gebaeude!$E$4</f>
        <v>Beispielgebäude Wohnhaus</v>
      </c>
      <c r="F3" s="24"/>
      <c r="G3" s="1127"/>
      <c r="H3" s="24"/>
      <c r="I3" s="1"/>
      <c r="J3" s="18"/>
      <c r="K3" s="1"/>
    </row>
    <row r="4" spans="1:11" ht="16.5" customHeight="1">
      <c r="A4" s="150" t="s">
        <v>2393</v>
      </c>
      <c r="B4" s="150"/>
      <c r="C4" s="66"/>
      <c r="D4" s="66"/>
      <c r="E4" s="66"/>
      <c r="F4" s="66"/>
      <c r="G4" s="66"/>
      <c r="H4" s="66"/>
      <c r="I4" s="1"/>
      <c r="J4" s="122">
        <f>ROW(A5)</f>
        <v>5</v>
      </c>
      <c r="K4" s="122">
        <f>ROW(A25)</f>
        <v>25</v>
      </c>
    </row>
    <row r="5" spans="1:11" ht="17.100000000000001" customHeight="1">
      <c r="A5" s="18" t="s">
        <v>2396</v>
      </c>
      <c r="C5" s="28" t="s">
        <v>2431</v>
      </c>
      <c r="D5" s="518">
        <f ca="1">gAN</f>
        <v>213.7481712</v>
      </c>
      <c r="F5" s="703" t="s">
        <v>2397</v>
      </c>
      <c r="H5" s="702"/>
    </row>
    <row r="6" spans="1:11" ht="6.6" customHeight="1">
      <c r="C6" s="28"/>
      <c r="D6" s="518"/>
      <c r="H6" s="67"/>
    </row>
    <row r="7" spans="1:11" ht="17.100000000000001" customHeight="1">
      <c r="A7" s="18" t="s">
        <v>164</v>
      </c>
      <c r="C7" s="28" t="s">
        <v>2432</v>
      </c>
      <c r="D7" s="518">
        <f ca="1">Gebaeude!I198</f>
        <v>8046.414471189838</v>
      </c>
      <c r="G7" s="28" t="s">
        <v>2925</v>
      </c>
      <c r="H7" s="518">
        <f ca="1">IF(gAN&gt;0,D7/gAN,"")</f>
        <v>37.64436638693374</v>
      </c>
    </row>
    <row r="8" spans="1:11" ht="17.100000000000001" customHeight="1">
      <c r="A8" s="18" t="s">
        <v>2398</v>
      </c>
      <c r="C8" s="28" t="s">
        <v>2433</v>
      </c>
      <c r="D8" s="518">
        <f ca="1">IFERROR(Gebaeude!I220*gAN,"")</f>
        <v>2982.7110394192714</v>
      </c>
      <c r="G8" s="28" t="s">
        <v>2926</v>
      </c>
      <c r="H8" s="518">
        <f ca="1">IF(gAN&gt;0,D8/gAN,"")</f>
        <v>13.954323083440123</v>
      </c>
    </row>
    <row r="9" spans="1:11" ht="17.100000000000001" customHeight="1">
      <c r="A9" s="18" t="s">
        <v>2399</v>
      </c>
      <c r="C9" s="28" t="s">
        <v>2434</v>
      </c>
      <c r="D9" s="518">
        <f ca="1">IFERROR(Gebaeude!I221*gAN,"")</f>
        <v>821.41089550510969</v>
      </c>
      <c r="G9" s="28" t="s">
        <v>2927</v>
      </c>
      <c r="H9" s="518">
        <f ca="1">IF(gAN&gt;0,D9/gAN,"")</f>
        <v>3.8428908696324307</v>
      </c>
    </row>
    <row r="10" spans="1:11" ht="16.5" customHeight="1">
      <c r="A10" s="18" t="s">
        <v>196</v>
      </c>
      <c r="C10" s="28" t="s">
        <v>2435</v>
      </c>
      <c r="D10" s="518">
        <f ca="1">Gebaeude!I219</f>
        <v>0.67343211338722708</v>
      </c>
    </row>
    <row r="11" spans="1:11" ht="6.6" customHeight="1"/>
    <row r="12" spans="1:11" ht="17.100000000000001" customHeight="1">
      <c r="A12" s="25" t="s">
        <v>3349</v>
      </c>
    </row>
    <row r="13" spans="1:11" ht="17.100000000000001" customHeight="1">
      <c r="A13" s="18" t="s">
        <v>2400</v>
      </c>
      <c r="C13" s="28" t="s">
        <v>2930</v>
      </c>
      <c r="D13" s="518">
        <f ca="1">IFERROR(zQP*gAN,"")</f>
        <v>7218.0249358213259</v>
      </c>
      <c r="G13" s="28" t="s">
        <v>2928</v>
      </c>
      <c r="H13" s="612">
        <f ca="1">IF(gAN&gt;0,D13/gAN,"")</f>
        <v>33.768826630416221</v>
      </c>
    </row>
    <row r="14" spans="1:11" ht="17.100000000000001" customHeight="1">
      <c r="B14" s="18" t="s">
        <v>2401</v>
      </c>
      <c r="C14" s="28" t="s">
        <v>2436</v>
      </c>
      <c r="D14" s="518">
        <f ca="1">zQPzul*gAN</f>
        <v>8225.1848185836079</v>
      </c>
      <c r="G14" s="28" t="s">
        <v>2929</v>
      </c>
      <c r="H14" s="612">
        <f ca="1">IF(gAN&gt;0,D14/gAN,"")</f>
        <v>38.480726045077894</v>
      </c>
    </row>
    <row r="15" spans="1:11" ht="17.100000000000001" customHeight="1">
      <c r="C15" s="28"/>
      <c r="D15" s="702"/>
      <c r="G15" s="28"/>
      <c r="H15" s="704" t="str">
        <f ca="1">"Anforderung "&amp;Gebaeude!I231</f>
        <v>Anforderung erfüllt</v>
      </c>
    </row>
    <row r="16" spans="1:11" ht="6" customHeight="1">
      <c r="A16" s="702"/>
    </row>
    <row r="17" spans="1:11" ht="17.100000000000001" customHeight="1">
      <c r="A17" s="18" t="s">
        <v>2948</v>
      </c>
      <c r="C17" s="702"/>
      <c r="D17" s="702"/>
      <c r="G17" s="28" t="s">
        <v>2944</v>
      </c>
      <c r="H17" s="855">
        <f ca="1">zHT</f>
        <v>0.25397110674065043</v>
      </c>
    </row>
    <row r="18" spans="1:11" ht="17.100000000000001" customHeight="1">
      <c r="B18" s="18" t="s">
        <v>2401</v>
      </c>
      <c r="C18" s="702"/>
      <c r="D18" s="702"/>
      <c r="G18" s="28" t="s">
        <v>2437</v>
      </c>
      <c r="H18" s="855">
        <f ca="1">zHTzul</f>
        <v>0.36105298479331505</v>
      </c>
    </row>
    <row r="19" spans="1:11" ht="17.100000000000001" customHeight="1">
      <c r="D19" s="702"/>
      <c r="H19" s="704" t="str">
        <f ca="1">"Anforderung "&amp;Gebaeude!I206</f>
        <v>Anforderung erfüllt</v>
      </c>
    </row>
    <row r="20" spans="1:11" ht="17.100000000000001" customHeight="1">
      <c r="A20" s="18" t="s">
        <v>2831</v>
      </c>
      <c r="G20" s="3" t="s">
        <v>2940</v>
      </c>
      <c r="H20" s="704" t="str">
        <f ca="1">EnergieEffizienzKlasse(H8+H9)</f>
        <v>A+</v>
      </c>
    </row>
    <row r="21" spans="1:11" ht="17.100000000000001" customHeight="1">
      <c r="A21" s="1" t="s">
        <v>2935</v>
      </c>
      <c r="G21" s="3" t="s">
        <v>2980</v>
      </c>
      <c r="H21" s="612">
        <f ca="1">Gebaeude!I230</f>
        <v>10.505857173907268</v>
      </c>
    </row>
    <row r="22" spans="1:11" ht="6.6" customHeight="1"/>
    <row r="23" spans="1:11" ht="17.100000000000001" customHeight="1">
      <c r="A23" s="18" t="s">
        <v>2779</v>
      </c>
      <c r="D23" s="705"/>
      <c r="H23" s="935">
        <f ca="1">IFERROR(IF(Referenz!zQP&gt;0,H13/Referenz!zQP,""),"")</f>
        <v>0.4826534360337153</v>
      </c>
    </row>
    <row r="24" spans="1:11" ht="17.100000000000001" customHeight="1">
      <c r="A24" s="18" t="s">
        <v>2780</v>
      </c>
      <c r="D24" s="705"/>
      <c r="H24" s="935">
        <f ca="1">IF(Referenz!zHT&gt;0,H17/Referenz!zHT,"")</f>
        <v>0.70341782906471839</v>
      </c>
    </row>
    <row r="25" spans="1:11" ht="17.100000000000001" customHeight="1">
      <c r="A25" s="18" t="s">
        <v>3351</v>
      </c>
      <c r="D25" s="705"/>
      <c r="H25" s="706" t="str">
        <f ca="1">IF(AND(H23&lt;=0.4,H24&lt;=0.55),"KfW Effizienzhaus 40","nicht relevant")</f>
        <v>nicht relevant</v>
      </c>
    </row>
    <row r="26" spans="1:11" ht="6" customHeight="1"/>
    <row r="27" spans="1:11" ht="18" customHeight="1">
      <c r="A27" s="150" t="s">
        <v>2405</v>
      </c>
      <c r="B27" s="150"/>
      <c r="C27" s="66"/>
      <c r="D27" s="66"/>
      <c r="E27" s="66"/>
      <c r="F27" s="66"/>
      <c r="G27" s="66"/>
      <c r="H27" s="66"/>
      <c r="I27" s="1"/>
      <c r="J27" s="122">
        <f>ROW(A28)</f>
        <v>28</v>
      </c>
      <c r="K27" s="122">
        <f>ROW(A35)</f>
        <v>35</v>
      </c>
    </row>
    <row r="28" spans="1:11" ht="17.100000000000001" customHeight="1">
      <c r="A28" s="18" t="s">
        <v>2394</v>
      </c>
      <c r="D28" s="134" t="str">
        <f>gObjekt</f>
        <v>Beispielgebäude Wohnhaus</v>
      </c>
      <c r="I28" s="932" t="s">
        <v>2942</v>
      </c>
    </row>
    <row r="29" spans="1:11" ht="17.100000000000001" customHeight="1">
      <c r="A29" s="18" t="s">
        <v>2945</v>
      </c>
      <c r="D29" s="134" t="str">
        <f>Energieausweis!aGebaeudeadresseStrasseNr</f>
        <v>Objektstraße 12</v>
      </c>
      <c r="I29" s="932" t="s">
        <v>2943</v>
      </c>
    </row>
    <row r="30" spans="1:11" ht="17.100000000000001" customHeight="1">
      <c r="A30" s="18" t="s">
        <v>2395</v>
      </c>
      <c r="D30" s="134" t="str">
        <f>Energieausweis!aGebaeudeadressePostleitzahl &amp;" "&amp;Energieausweis!aGebaeudeadresseOrt</f>
        <v>12345 Musterhausen</v>
      </c>
      <c r="I30" s="932" t="s">
        <v>2943</v>
      </c>
    </row>
    <row r="31" spans="1:11" ht="17.100000000000001" customHeight="1">
      <c r="A31" s="18" t="s">
        <v>2407</v>
      </c>
      <c r="D31" s="1185" t="s">
        <v>2531</v>
      </c>
      <c r="E31" s="1186"/>
      <c r="F31" s="1186"/>
      <c r="G31" s="1186"/>
      <c r="H31" s="1186"/>
    </row>
    <row r="32" spans="1:11" ht="6.75" customHeight="1">
      <c r="D32" s="134"/>
    </row>
    <row r="33" spans="1:11" ht="18" customHeight="1" thickBot="1">
      <c r="A33" s="18" t="s">
        <v>2406</v>
      </c>
      <c r="C33" s="18" t="s">
        <v>819</v>
      </c>
      <c r="D33" s="1181" t="s">
        <v>2532</v>
      </c>
      <c r="E33" s="1182"/>
      <c r="F33" s="1182"/>
      <c r="G33" s="1182"/>
      <c r="H33" s="1182"/>
    </row>
    <row r="34" spans="1:11" ht="17.100000000000001" customHeight="1" thickTop="1" thickBot="1">
      <c r="C34" s="18" t="s">
        <v>2946</v>
      </c>
      <c r="D34" s="1187" t="s">
        <v>2533</v>
      </c>
      <c r="E34" s="1188"/>
      <c r="F34" s="1188"/>
      <c r="G34" s="1188"/>
      <c r="H34" s="1188"/>
    </row>
    <row r="35" spans="1:11" ht="17.100000000000001" customHeight="1" thickTop="1">
      <c r="C35" s="18" t="s">
        <v>2403</v>
      </c>
      <c r="D35" s="1189" t="s">
        <v>2534</v>
      </c>
      <c r="E35" s="1190"/>
      <c r="F35" s="1190"/>
      <c r="G35" s="1190"/>
      <c r="H35" s="1190"/>
    </row>
    <row r="36" spans="1:11" ht="6.6" customHeight="1"/>
    <row r="37" spans="1:11" ht="17.100000000000001" customHeight="1">
      <c r="A37" s="150" t="s">
        <v>2408</v>
      </c>
      <c r="B37" s="150"/>
      <c r="C37" s="66"/>
      <c r="D37" s="66"/>
      <c r="E37" s="66"/>
      <c r="F37" s="66"/>
      <c r="G37" s="66"/>
      <c r="H37" s="66"/>
      <c r="I37" s="1"/>
      <c r="J37" s="122">
        <f>ROW(A38)</f>
        <v>38</v>
      </c>
      <c r="K37" s="122">
        <f>ROW(A47)</f>
        <v>47</v>
      </c>
    </row>
    <row r="38" spans="1:11" ht="17.100000000000001" customHeight="1">
      <c r="A38" s="18" t="s">
        <v>862</v>
      </c>
      <c r="D38" s="738" t="str">
        <f>Energieausweis!aAusstellungsdatum</f>
        <v>14.01.2023</v>
      </c>
      <c r="I38" s="932" t="s">
        <v>2943</v>
      </c>
    </row>
    <row r="39" spans="1:11" ht="17.100000000000001" customHeight="1">
      <c r="A39" s="18" t="s">
        <v>2404</v>
      </c>
      <c r="C39" s="18" t="s">
        <v>1718</v>
      </c>
      <c r="D39" s="134" t="str">
        <f>Energieausweis!aAusstellerBezeichnung</f>
        <v>Dipl.-Ing.</v>
      </c>
      <c r="I39" s="932" t="s">
        <v>2943</v>
      </c>
    </row>
    <row r="40" spans="1:11" ht="17.100000000000001" customHeight="1">
      <c r="C40" s="18" t="s">
        <v>819</v>
      </c>
      <c r="D40" s="134" t="str">
        <f>Energieausweis!aAusstellervorname&amp;" "&amp;Energieausweis!aAusstellername</f>
        <v>M. Mustermann</v>
      </c>
      <c r="I40" s="932" t="s">
        <v>2943</v>
      </c>
    </row>
    <row r="41" spans="1:11" ht="17.100000000000001" customHeight="1">
      <c r="C41" s="18" t="s">
        <v>2946</v>
      </c>
      <c r="D41" s="134" t="str">
        <f>Energieausweis!aAusstellerStrasseNr</f>
        <v>Ausstellerstraße 2</v>
      </c>
      <c r="I41" s="932" t="s">
        <v>2943</v>
      </c>
    </row>
    <row r="42" spans="1:11" ht="17.100000000000001" customHeight="1">
      <c r="C42" s="18" t="s">
        <v>2403</v>
      </c>
      <c r="D42" s="134" t="str">
        <f>Energieausweis!aAusstellerPLZ&amp;" "&amp;Energieausweis!aAusstellerOrt</f>
        <v>12356 Ausstellerstadt</v>
      </c>
      <c r="I42" s="932" t="s">
        <v>2943</v>
      </c>
    </row>
    <row r="43" spans="1:11" ht="6.75" customHeight="1">
      <c r="D43" s="134"/>
    </row>
    <row r="44" spans="1:11" ht="17.100000000000001" customHeight="1" thickBot="1">
      <c r="A44" s="18" t="s">
        <v>2409</v>
      </c>
      <c r="D44" s="1181"/>
      <c r="E44" s="1182"/>
      <c r="F44" s="1182"/>
      <c r="G44" s="1182"/>
      <c r="H44" s="1182"/>
    </row>
    <row r="45" spans="1:11" ht="17.100000000000001" customHeight="1" thickTop="1">
      <c r="A45" s="18" t="s">
        <v>2410</v>
      </c>
      <c r="D45" s="1183"/>
      <c r="E45" s="1184"/>
      <c r="F45" s="1184"/>
      <c r="G45" s="1184"/>
      <c r="H45" s="1184"/>
    </row>
    <row r="46" spans="1:11" ht="17.399999999999999" customHeight="1"/>
    <row r="47" spans="1:11" ht="17.100000000000001" customHeight="1">
      <c r="A47" s="18" t="s">
        <v>2411</v>
      </c>
      <c r="D47" s="17"/>
      <c r="E47" s="17"/>
      <c r="F47" s="17"/>
      <c r="G47" s="17"/>
      <c r="H47" s="17"/>
    </row>
  </sheetData>
  <sheetProtection algorithmName="SHA-512" hashValue="ITaCQNbNBiypoATDM5hTVCooiICSOg3X0OKeOG9PCt0YqhnvJsOTMFzOhAwJFPsV9iqHOup1z0EjnYfDOhfmfg==" saltValue="EV4e39s5tiP2TODoD2ejXA==" spinCount="100000" sheet="1" objects="1" scenarios="1"/>
  <dataConsolidate/>
  <mergeCells count="6">
    <mergeCell ref="D44:H44"/>
    <mergeCell ref="D45:H45"/>
    <mergeCell ref="D31:H31"/>
    <mergeCell ref="D33:H33"/>
    <mergeCell ref="D34:H34"/>
    <mergeCell ref="D35:H35"/>
  </mergeCells>
  <pageMargins left="0.70866141732283472" right="0.70866141732283472" top="0.78740157480314965" bottom="0.78740157480314965" header="0.31496062992125984" footer="0.31496062992125984"/>
  <pageSetup paperSize="9" orientation="portrait" r:id="rId1"/>
  <headerFooter>
    <oddFooter>&amp;L&amp;G&amp;C&amp;"Arial,Standard"&amp;9A. Maas und K. Höttges
V4.0, April 2023&amp;R&amp;"Arial,Standard"&amp;9Berechnungsblatt GEG 2023, Blatt '&amp;A'
Seite &amp;P von &amp;N</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47458" r:id="rId5" name="Button 2">
              <controlPr defaultSize="0" print="0" autoFill="0" autoPict="0" macro="[0]!ZeilenEinAusBlendenEinzeln">
                <anchor moveWithCells="1">
                  <from>
                    <xdr:col>8</xdr:col>
                    <xdr:colOff>7620</xdr:colOff>
                    <xdr:row>3</xdr:row>
                    <xdr:rowOff>7620</xdr:rowOff>
                  </from>
                  <to>
                    <xdr:col>8</xdr:col>
                    <xdr:colOff>251460</xdr:colOff>
                    <xdr:row>3</xdr:row>
                    <xdr:rowOff>251460</xdr:rowOff>
                  </to>
                </anchor>
              </controlPr>
            </control>
          </mc:Choice>
        </mc:AlternateContent>
        <mc:AlternateContent xmlns:mc="http://schemas.openxmlformats.org/markup-compatibility/2006">
          <mc:Choice Requires="x14">
            <control shapeId="147462" r:id="rId6" name="Button 6">
              <controlPr defaultSize="0" print="0" autoFill="0" autoPict="0" macro="[0]!ZeilenEinAusBlendenEinzeln">
                <anchor moveWithCells="1">
                  <from>
                    <xdr:col>8</xdr:col>
                    <xdr:colOff>7620</xdr:colOff>
                    <xdr:row>26</xdr:row>
                    <xdr:rowOff>7620</xdr:rowOff>
                  </from>
                  <to>
                    <xdr:col>8</xdr:col>
                    <xdr:colOff>251460</xdr:colOff>
                    <xdr:row>27</xdr:row>
                    <xdr:rowOff>0</xdr:rowOff>
                  </to>
                </anchor>
              </controlPr>
            </control>
          </mc:Choice>
        </mc:AlternateContent>
        <mc:AlternateContent xmlns:mc="http://schemas.openxmlformats.org/markup-compatibility/2006">
          <mc:Choice Requires="x14">
            <control shapeId="147472" r:id="rId7" name="Button 16">
              <controlPr defaultSize="0" print="0" autoFill="0" autoPict="0" macro="[0]!ZeilenEinAusBlendenEinzeln">
                <anchor moveWithCells="1">
                  <from>
                    <xdr:col>8</xdr:col>
                    <xdr:colOff>7620</xdr:colOff>
                    <xdr:row>36</xdr:row>
                    <xdr:rowOff>7620</xdr:rowOff>
                  </from>
                  <to>
                    <xdr:col>8</xdr:col>
                    <xdr:colOff>251460</xdr:colOff>
                    <xdr:row>37</xdr:row>
                    <xdr:rowOff>0</xdr:rowOff>
                  </to>
                </anchor>
              </controlPr>
            </control>
          </mc:Choice>
        </mc:AlternateContent>
        <mc:AlternateContent xmlns:mc="http://schemas.openxmlformats.org/markup-compatibility/2006">
          <mc:Choice Requires="x14">
            <control shapeId="147457" r:id="rId8" name="Button 1">
              <controlPr defaultSize="0" print="0" autoFill="0" autoPict="0" macro="[0]!ZeilenEinAusBlendenAlle">
                <anchor moveWithCells="1">
                  <from>
                    <xdr:col>8</xdr:col>
                    <xdr:colOff>7620</xdr:colOff>
                    <xdr:row>0</xdr:row>
                    <xdr:rowOff>0</xdr:rowOff>
                  </from>
                  <to>
                    <xdr:col>8</xdr:col>
                    <xdr:colOff>251460</xdr:colOff>
                    <xdr:row>0</xdr:row>
                    <xdr:rowOff>236220</xdr:rowOff>
                  </to>
                </anchor>
              </controlPr>
            </control>
          </mc:Choice>
        </mc:AlternateContent>
        <mc:AlternateContent xmlns:mc="http://schemas.openxmlformats.org/markup-compatibility/2006">
          <mc:Choice Requires="x14">
            <control shapeId="147471" r:id="rId9" name="stLilaAnAus">
              <controlPr defaultSize="0" print="0" autoFill="0" autoPict="0" macro="[0]!LilaAnAus">
                <anchor>
                  <from>
                    <xdr:col>12</xdr:col>
                    <xdr:colOff>441960</xdr:colOff>
                    <xdr:row>0</xdr:row>
                    <xdr:rowOff>0</xdr:rowOff>
                  </from>
                  <to>
                    <xdr:col>14</xdr:col>
                    <xdr:colOff>708660</xdr:colOff>
                    <xdr:row>1</xdr:row>
                    <xdr:rowOff>0</xdr:rowOff>
                  </to>
                </anchor>
              </controlPr>
            </control>
          </mc:Choice>
        </mc:AlternateContent>
        <mc:AlternateContent xmlns:mc="http://schemas.openxmlformats.org/markup-compatibility/2006">
          <mc:Choice Requires="x14">
            <control shapeId="147473" r:id="rId10" name="Button 17">
              <controlPr defaultSize="0" print="0" autoFill="0" autoPict="0" macro="[0]!Leeren">
                <anchor>
                  <from>
                    <xdr:col>15</xdr:col>
                    <xdr:colOff>22860</xdr:colOff>
                    <xdr:row>0</xdr:row>
                    <xdr:rowOff>0</xdr:rowOff>
                  </from>
                  <to>
                    <xdr:col>16</xdr:col>
                    <xdr:colOff>480060</xdr:colOff>
                    <xdr:row>1</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pageSetUpPr fitToPage="1"/>
  </sheetPr>
  <dimension ref="A1:AO355"/>
  <sheetViews>
    <sheetView showGridLines="0" tabSelected="1" zoomScaleNormal="100" workbookViewId="0">
      <pane ySplit="4" topLeftCell="A5" activePane="bottomLeft" state="frozen"/>
      <selection pane="bottomLeft"/>
    </sheetView>
  </sheetViews>
  <sheetFormatPr baseColWidth="10" defaultColWidth="11.44140625" defaultRowHeight="13.2"/>
  <cols>
    <col min="1" max="1" width="1.109375" style="1" customWidth="1"/>
    <col min="2" max="2" width="6.33203125" style="1" customWidth="1"/>
    <col min="3" max="3" width="14.109375" style="1" customWidth="1"/>
    <col min="4" max="4" width="7.33203125" style="1" customWidth="1"/>
    <col min="5" max="5" width="10.6640625" style="1" customWidth="1"/>
    <col min="6" max="6" width="11.5546875" style="1" customWidth="1"/>
    <col min="7" max="7" width="14.44140625" style="1" customWidth="1"/>
    <col min="8" max="8" width="13.33203125" style="1" customWidth="1"/>
    <col min="9" max="9" width="15.33203125" style="1" customWidth="1"/>
    <col min="10" max="10" width="4.33203125" style="1" customWidth="1"/>
    <col min="11" max="11" width="5.44140625" style="1" customWidth="1"/>
    <col min="12" max="12" width="4.33203125" style="1" customWidth="1"/>
    <col min="13" max="24" width="6" style="1" customWidth="1"/>
    <col min="25" max="25" width="11.44140625" style="1" customWidth="1"/>
    <col min="26" max="26" width="7" style="1" customWidth="1"/>
    <col min="27" max="27" width="8.109375" style="571" hidden="1" customWidth="1"/>
    <col min="28" max="40" width="6.33203125" style="571" hidden="1" customWidth="1"/>
    <col min="41" max="41" width="11.44140625" style="1" hidden="1" customWidth="1"/>
    <col min="42" max="50" width="0" style="1" hidden="1" customWidth="1"/>
    <col min="51" max="16384" width="11.44140625" style="1"/>
  </cols>
  <sheetData>
    <row r="1" spans="2:40" ht="17.100000000000001" customHeight="1">
      <c r="B1" s="613" t="s">
        <v>2830</v>
      </c>
      <c r="C1" s="616"/>
      <c r="D1" s="616"/>
      <c r="E1" s="616"/>
      <c r="F1" s="104"/>
      <c r="G1" s="616"/>
      <c r="H1" s="616"/>
      <c r="I1" s="616"/>
      <c r="J1" s="7"/>
      <c r="K1" s="29" t="s">
        <v>299</v>
      </c>
      <c r="L1" s="8"/>
      <c r="X1" s="735"/>
    </row>
    <row r="2" spans="2:40" ht="18" customHeight="1">
      <c r="B2" s="386" t="s">
        <v>3348</v>
      </c>
      <c r="C2" s="343"/>
      <c r="D2" s="343"/>
      <c r="E2" s="343"/>
      <c r="G2" s="343"/>
      <c r="H2" s="343"/>
      <c r="I2" s="1128" t="str">
        <f ca="1">IF(zQP="","Eingaben unvollständig","qP,vorh "&amp;TEXT(zQP,"0,0")&amp;IF(zQP&lt;=zQPzul,"&lt;=","&gt;")&amp;TEXT(zQPzul,"0,0")&amp;" kWh/(m²a)  |  HT',vorh "&amp;TEXT(zHT,"0,00")&amp;IF(zHT&lt;=zHTzul,"&lt;=","&gt;")&amp;TEXT(zHTzul,"0,00")&amp;" W/(m²K)")</f>
        <v>qP,vorh 33,8&lt;=38,5 kWh/(m²a)  |  HT',vorh 0,25&lt;=0,36 W/(m²K)</v>
      </c>
      <c r="J2" s="7"/>
      <c r="K2" s="87">
        <f>COLUMN(M4)</f>
        <v>13</v>
      </c>
      <c r="L2" s="8" t="s">
        <v>1797</v>
      </c>
    </row>
    <row r="3" spans="2:40" ht="6.75" customHeight="1">
      <c r="B3" s="386"/>
      <c r="C3" s="343"/>
      <c r="D3" s="343"/>
      <c r="E3" s="343"/>
      <c r="G3" s="343"/>
      <c r="H3" s="343"/>
      <c r="I3" s="343"/>
      <c r="J3" s="7"/>
      <c r="K3" s="87">
        <f>COLUMN(X4)</f>
        <v>24</v>
      </c>
      <c r="L3" s="8"/>
    </row>
    <row r="4" spans="2:40" ht="16.5" customHeight="1">
      <c r="B4" s="2" t="s">
        <v>32</v>
      </c>
      <c r="E4" s="1191" t="s">
        <v>2654</v>
      </c>
      <c r="F4" s="1192"/>
      <c r="G4" s="1193"/>
      <c r="H4" s="1193"/>
      <c r="I4" s="1193"/>
      <c r="M4" s="8" t="s">
        <v>116</v>
      </c>
      <c r="N4" s="8" t="s">
        <v>117</v>
      </c>
      <c r="O4" s="8" t="s">
        <v>118</v>
      </c>
      <c r="P4" s="8" t="s">
        <v>119</v>
      </c>
      <c r="Q4" s="8" t="s">
        <v>120</v>
      </c>
      <c r="R4" s="8" t="s">
        <v>121</v>
      </c>
      <c r="S4" s="8" t="s">
        <v>122</v>
      </c>
      <c r="T4" s="8" t="s">
        <v>123</v>
      </c>
      <c r="U4" s="8" t="s">
        <v>124</v>
      </c>
      <c r="V4" s="8" t="s">
        <v>125</v>
      </c>
      <c r="W4" s="8" t="s">
        <v>126</v>
      </c>
      <c r="X4" s="8" t="s">
        <v>127</v>
      </c>
    </row>
    <row r="5" spans="2:40" ht="6.75" customHeight="1">
      <c r="B5" s="2"/>
      <c r="E5" s="614"/>
      <c r="F5" s="614"/>
      <c r="G5" s="615"/>
      <c r="H5" s="615"/>
      <c r="I5" s="615"/>
      <c r="K5" s="87"/>
      <c r="M5" s="8"/>
      <c r="N5" s="8"/>
      <c r="O5" s="8"/>
      <c r="P5" s="8"/>
      <c r="Q5" s="8"/>
      <c r="R5" s="8"/>
      <c r="S5" s="8"/>
      <c r="T5" s="8"/>
      <c r="U5" s="8"/>
      <c r="V5" s="8"/>
      <c r="W5" s="8"/>
      <c r="X5" s="8"/>
      <c r="AA5" s="1"/>
      <c r="AB5" s="1"/>
      <c r="AC5" s="1"/>
      <c r="AD5" s="1"/>
      <c r="AE5" s="1"/>
      <c r="AF5" s="1"/>
      <c r="AG5" s="1"/>
      <c r="AH5" s="1"/>
      <c r="AI5" s="1"/>
      <c r="AJ5" s="1"/>
      <c r="AK5" s="1"/>
      <c r="AL5" s="1"/>
      <c r="AM5" s="1"/>
      <c r="AN5" s="1"/>
    </row>
    <row r="6" spans="2:40" ht="16.5" customHeight="1">
      <c r="B6" s="89" t="s">
        <v>57</v>
      </c>
      <c r="C6" s="90"/>
      <c r="D6" s="90"/>
      <c r="E6" s="90"/>
      <c r="F6" s="90"/>
      <c r="G6" s="90"/>
      <c r="H6" s="90"/>
      <c r="I6" s="91"/>
      <c r="K6" s="87">
        <f>ROW(B7)</f>
        <v>7</v>
      </c>
      <c r="L6" s="87">
        <f>ROW(B12)</f>
        <v>12</v>
      </c>
      <c r="M6" s="8"/>
      <c r="AA6" s="194"/>
    </row>
    <row r="7" spans="2:40" ht="16.5" customHeight="1" thickBot="1">
      <c r="B7" s="82" t="s">
        <v>2889</v>
      </c>
      <c r="E7" s="3" t="s">
        <v>2888</v>
      </c>
      <c r="F7" s="1381">
        <f ca="1">VLOOKUP($B7,Geometrie!$A:$R,6,FALSE)</f>
        <v>667.96303499999999</v>
      </c>
      <c r="I7" s="83" t="s">
        <v>2611</v>
      </c>
      <c r="K7" s="87"/>
      <c r="L7" s="87"/>
      <c r="AA7" s="200"/>
    </row>
    <row r="8" spans="2:40" ht="16.5" customHeight="1" thickBot="1">
      <c r="B8" s="84" t="s">
        <v>2890</v>
      </c>
      <c r="E8" s="3" t="s">
        <v>2891</v>
      </c>
      <c r="F8" s="1068">
        <v>2.75</v>
      </c>
      <c r="G8" s="3" t="s">
        <v>2923</v>
      </c>
      <c r="H8" s="928">
        <f>IF(F8&lt;1,"Geschosshöhe?",IF(AND(F8&gt;=2.5,F8&lt;=3),0.32,1/F8-0.04))</f>
        <v>0.32</v>
      </c>
      <c r="I8" s="85"/>
      <c r="K8" s="87"/>
      <c r="L8" s="87"/>
      <c r="AA8" s="1179"/>
      <c r="AC8" s="572" t="s">
        <v>1940</v>
      </c>
      <c r="AD8" s="571">
        <f>IF(stEnEV=1,2.4,1.8)</f>
        <v>1.8</v>
      </c>
    </row>
    <row r="9" spans="2:40" ht="16.5" customHeight="1" thickBot="1">
      <c r="B9" s="84" t="s">
        <v>2396</v>
      </c>
      <c r="E9" s="3" t="s">
        <v>2892</v>
      </c>
      <c r="F9" s="741">
        <f ca="1">IF(ISNUMBER(H8),F7*H8,0)</f>
        <v>213.7481712</v>
      </c>
      <c r="G9" s="3"/>
      <c r="I9" s="85"/>
      <c r="K9" s="87"/>
      <c r="L9" s="87"/>
      <c r="AA9" s="194" t="s">
        <v>1796</v>
      </c>
    </row>
    <row r="10" spans="2:40" ht="16.5" customHeight="1" thickBot="1">
      <c r="B10" s="84" t="s">
        <v>2922</v>
      </c>
      <c r="E10" s="3" t="s">
        <v>2893</v>
      </c>
      <c r="F10" s="1069">
        <v>1</v>
      </c>
      <c r="I10" s="85"/>
      <c r="J10" s="608" t="s">
        <v>2667</v>
      </c>
      <c r="K10" s="87"/>
      <c r="L10" s="87"/>
      <c r="AA10" s="200" t="s">
        <v>1780</v>
      </c>
    </row>
    <row r="11" spans="2:40" ht="16.5" customHeight="1">
      <c r="B11" s="84" t="s">
        <v>2921</v>
      </c>
      <c r="E11" s="3" t="s">
        <v>2894</v>
      </c>
      <c r="F11" s="1177">
        <v>2</v>
      </c>
      <c r="G11" s="927" t="s">
        <v>2924</v>
      </c>
      <c r="I11" s="85"/>
      <c r="J11" s="608" t="s">
        <v>2879</v>
      </c>
      <c r="K11" s="87"/>
      <c r="L11" s="87"/>
      <c r="AA11" s="1179">
        <v>1</v>
      </c>
    </row>
    <row r="12" spans="2:40" ht="6.75" customHeight="1">
      <c r="B12" s="84"/>
      <c r="F12" s="617"/>
      <c r="I12" s="85"/>
      <c r="K12" s="87"/>
      <c r="L12" s="87"/>
      <c r="AA12" s="129"/>
      <c r="AB12" s="1"/>
      <c r="AC12" s="1"/>
      <c r="AD12" s="1"/>
      <c r="AE12" s="1"/>
      <c r="AF12" s="1"/>
      <c r="AG12" s="1"/>
      <c r="AH12" s="1"/>
      <c r="AI12" s="1"/>
      <c r="AJ12" s="1"/>
      <c r="AK12" s="1"/>
      <c r="AL12" s="1"/>
      <c r="AM12" s="1"/>
      <c r="AN12" s="1"/>
    </row>
    <row r="13" spans="2:40" ht="16.5" customHeight="1">
      <c r="B13" s="79" t="s">
        <v>2953</v>
      </c>
      <c r="C13" s="80"/>
      <c r="D13" s="80"/>
      <c r="E13" s="80"/>
      <c r="F13" s="80"/>
      <c r="G13" s="80"/>
      <c r="H13" s="80"/>
      <c r="I13" s="81"/>
      <c r="K13" s="87"/>
      <c r="L13" s="87"/>
      <c r="M13" s="30"/>
      <c r="N13" s="30"/>
    </row>
    <row r="14" spans="2:40" ht="16.5" customHeight="1">
      <c r="B14" s="103" t="s">
        <v>166</v>
      </c>
      <c r="C14" s="104"/>
      <c r="D14" s="104"/>
      <c r="E14" s="104"/>
      <c r="F14" s="104"/>
      <c r="G14" s="104"/>
      <c r="H14" s="104"/>
      <c r="I14" s="105"/>
      <c r="K14" s="87">
        <f>ROW(B15)</f>
        <v>15</v>
      </c>
      <c r="L14" s="87">
        <f>ROW(B108)</f>
        <v>108</v>
      </c>
      <c r="M14" s="8"/>
      <c r="N14" s="30"/>
    </row>
    <row r="15" spans="2:40" ht="26.4">
      <c r="B15" s="344" t="s">
        <v>9</v>
      </c>
      <c r="C15" s="309" t="s">
        <v>38</v>
      </c>
      <c r="D15" s="309" t="s">
        <v>75</v>
      </c>
      <c r="E15" s="309" t="s">
        <v>1795</v>
      </c>
      <c r="F15" s="618" t="s">
        <v>0</v>
      </c>
      <c r="G15" s="309" t="s">
        <v>1</v>
      </c>
      <c r="H15" s="309" t="s">
        <v>2</v>
      </c>
      <c r="I15" s="357" t="s">
        <v>3</v>
      </c>
      <c r="K15" s="87"/>
      <c r="L15" s="87"/>
      <c r="AA15" s="1178" t="b">
        <v>1</v>
      </c>
    </row>
    <row r="16" spans="2:40" ht="16.5" customHeight="1">
      <c r="B16" s="344"/>
      <c r="C16" s="309"/>
      <c r="D16" s="346" t="s">
        <v>76</v>
      </c>
      <c r="E16" s="309" t="s">
        <v>115</v>
      </c>
      <c r="F16" s="618" t="s">
        <v>8</v>
      </c>
      <c r="G16" s="618" t="s">
        <v>5</v>
      </c>
      <c r="H16" s="618" t="s">
        <v>6</v>
      </c>
      <c r="I16" s="746" t="s">
        <v>2458</v>
      </c>
      <c r="K16" s="87"/>
      <c r="L16" s="87"/>
    </row>
    <row r="17" spans="2:40" ht="16.5" customHeight="1">
      <c r="B17" s="93" t="s">
        <v>19</v>
      </c>
      <c r="C17" s="92"/>
      <c r="E17" s="92"/>
      <c r="F17" s="92"/>
      <c r="G17" s="92"/>
      <c r="H17" s="92"/>
      <c r="I17" s="85"/>
      <c r="K17" s="88">
        <f ca="1">SUM(I18:I29)</f>
        <v>30.211430214140368</v>
      </c>
      <c r="L17" s="87" t="s">
        <v>346</v>
      </c>
    </row>
    <row r="18" spans="2:40" ht="16.5" customHeight="1" thickBot="1">
      <c r="B18" s="82" t="s">
        <v>4</v>
      </c>
      <c r="C18" s="1393" t="str">
        <f>VLOOKUP($B18,Geometrie!$A:$R,2,FALSE)</f>
        <v>Nord</v>
      </c>
      <c r="E18" s="1" t="s">
        <v>18</v>
      </c>
      <c r="F18" s="1382">
        <f ca="1">VLOOKUP($B18,Geometrie!$A:$R,18,FALSE)</f>
        <v>35.787800000000004</v>
      </c>
      <c r="G18" s="1383">
        <f ca="1">VLOOKUP($B18,Geometrie!$A:$R,14,FALSE)</f>
        <v>0.21081468036774198</v>
      </c>
      <c r="H18" s="630">
        <v>1</v>
      </c>
      <c r="I18" s="355">
        <f ca="1">F18*G18*H18</f>
        <v>7.5445936180646775</v>
      </c>
      <c r="K18" s="87"/>
      <c r="L18" s="87" t="str">
        <f>"HT "&amp;B18</f>
        <v>HT AW 1</v>
      </c>
      <c r="M18" s="5"/>
      <c r="N18" s="30"/>
    </row>
    <row r="19" spans="2:40" ht="16.5" customHeight="1" thickBot="1">
      <c r="B19" s="82" t="s">
        <v>20</v>
      </c>
      <c r="C19" s="1393" t="str">
        <f>VLOOKUP($B19,Geometrie!$A:$R,2,FALSE)</f>
        <v>West</v>
      </c>
      <c r="E19" s="1" t="s">
        <v>18</v>
      </c>
      <c r="F19" s="1382">
        <f ca="1">VLOOKUP($B19,Geometrie!$A:$R,18,FALSE)</f>
        <v>36.936199999999999</v>
      </c>
      <c r="G19" s="1383">
        <f ca="1">VLOOKUP($B19,Geometrie!$A:$R,14,FALSE)</f>
        <v>0.21081468036774198</v>
      </c>
      <c r="H19" s="630">
        <f>H18</f>
        <v>1</v>
      </c>
      <c r="I19" s="355">
        <f t="shared" ref="I19:I29" ca="1" si="0">F19*G19*H19</f>
        <v>7.786693196998991</v>
      </c>
      <c r="K19" s="87"/>
      <c r="L19" s="87" t="str">
        <f t="shared" ref="L19:L29" si="1">"HT "&amp;B19</f>
        <v>HT AW 2</v>
      </c>
      <c r="M19" s="5"/>
      <c r="N19" s="30"/>
    </row>
    <row r="20" spans="2:40" ht="16.5" customHeight="1" thickBot="1">
      <c r="B20" s="82" t="s">
        <v>21</v>
      </c>
      <c r="C20" s="1393" t="str">
        <f>VLOOKUP($B20,Geometrie!$A:$R,2,FALSE)</f>
        <v>Süd</v>
      </c>
      <c r="E20" s="1" t="s">
        <v>18</v>
      </c>
      <c r="F20" s="1382">
        <f ca="1">VLOOKUP($B20,Geometrie!$A:$R,18,FALSE)</f>
        <v>33.43780000000001</v>
      </c>
      <c r="G20" s="1383">
        <f ca="1">VLOOKUP($B20,Geometrie!$A:$R,14,FALSE)</f>
        <v>0.21081468036774198</v>
      </c>
      <c r="H20" s="630">
        <f t="shared" ref="H20:H29" si="2">H19</f>
        <v>1</v>
      </c>
      <c r="I20" s="355">
        <f t="shared" ca="1" si="0"/>
        <v>7.0491791192004847</v>
      </c>
      <c r="K20" s="87"/>
      <c r="L20" s="87" t="str">
        <f t="shared" si="1"/>
        <v>HT AW 3</v>
      </c>
      <c r="M20" s="5"/>
      <c r="N20" s="1108"/>
    </row>
    <row r="21" spans="2:40" ht="16.5" customHeight="1" thickBot="1">
      <c r="B21" s="82" t="s">
        <v>22</v>
      </c>
      <c r="C21" s="1393" t="str">
        <f>VLOOKUP($B21,Geometrie!$A:$R,2,FALSE)</f>
        <v>Ost</v>
      </c>
      <c r="E21" s="1" t="s">
        <v>18</v>
      </c>
      <c r="F21" s="1382">
        <f ca="1">VLOOKUP($B21,Geometrie!$A:$R,18,FALSE)</f>
        <v>37.1462</v>
      </c>
      <c r="G21" s="1383">
        <f ca="1">VLOOKUP($B21,Geometrie!$A:$R,14,FALSE)</f>
        <v>0.21081468036774198</v>
      </c>
      <c r="H21" s="630">
        <f t="shared" si="2"/>
        <v>1</v>
      </c>
      <c r="I21" s="355">
        <f t="shared" ca="1" si="0"/>
        <v>7.8309642798762171</v>
      </c>
      <c r="K21" s="87"/>
      <c r="L21" s="87" t="str">
        <f t="shared" si="1"/>
        <v>HT AW 4</v>
      </c>
      <c r="M21" s="5"/>
      <c r="N21" s="1109"/>
    </row>
    <row r="22" spans="2:40" ht="16.5" customHeight="1" thickBot="1">
      <c r="B22" s="82" t="s">
        <v>23</v>
      </c>
      <c r="C22" s="1393">
        <f>VLOOKUP($B22,Geometrie!$A:$R,2,FALSE)</f>
        <v>0</v>
      </c>
      <c r="E22" s="1" t="s">
        <v>18</v>
      </c>
      <c r="F22" s="1382">
        <f ca="1">VLOOKUP($B22,Geometrie!$A:$R,18,FALSE)</f>
        <v>0</v>
      </c>
      <c r="G22" s="1383">
        <f>VLOOKUP($B22,Geometrie!$A:$R,14,FALSE)</f>
        <v>0</v>
      </c>
      <c r="H22" s="630">
        <f t="shared" si="2"/>
        <v>1</v>
      </c>
      <c r="I22" s="355">
        <f t="shared" ca="1" si="0"/>
        <v>0</v>
      </c>
      <c r="K22" s="87"/>
      <c r="L22" s="87" t="str">
        <f t="shared" si="1"/>
        <v>HT AW 5</v>
      </c>
      <c r="P22" s="31"/>
      <c r="Q22" s="30"/>
      <c r="R22" s="30"/>
      <c r="S22" s="30"/>
      <c r="T22" s="30"/>
      <c r="U22" s="30"/>
      <c r="V22" s="30"/>
      <c r="W22" s="30"/>
      <c r="X22" s="30"/>
      <c r="AB22" s="573"/>
    </row>
    <row r="23" spans="2:40" ht="16.5" customHeight="1" thickBot="1">
      <c r="B23" s="82" t="s">
        <v>24</v>
      </c>
      <c r="C23" s="1393">
        <f>VLOOKUP($B23,Geometrie!$A:$R,2,FALSE)</f>
        <v>0</v>
      </c>
      <c r="E23" s="1" t="s">
        <v>18</v>
      </c>
      <c r="F23" s="1382">
        <f ca="1">VLOOKUP($B23,Geometrie!$A:$R,18,FALSE)</f>
        <v>0</v>
      </c>
      <c r="G23" s="1383">
        <f>VLOOKUP($B23,Geometrie!$A:$R,14,FALSE)</f>
        <v>0</v>
      </c>
      <c r="H23" s="630">
        <f t="shared" si="2"/>
        <v>1</v>
      </c>
      <c r="I23" s="355">
        <f t="shared" ca="1" si="0"/>
        <v>0</v>
      </c>
      <c r="K23" s="87"/>
      <c r="L23" s="87" t="str">
        <f t="shared" si="1"/>
        <v>HT AW 6</v>
      </c>
      <c r="P23" s="30"/>
      <c r="Q23" s="30"/>
      <c r="R23" s="30"/>
      <c r="S23" s="30"/>
      <c r="T23" s="30"/>
      <c r="U23" s="30"/>
      <c r="V23" s="30"/>
      <c r="W23" s="30"/>
      <c r="X23" s="30"/>
      <c r="AB23" s="573"/>
    </row>
    <row r="24" spans="2:40" ht="16.5" customHeight="1" thickBot="1">
      <c r="B24" s="82" t="s">
        <v>25</v>
      </c>
      <c r="C24" s="1393">
        <f>VLOOKUP($B24,Geometrie!$A:$R,2,FALSE)</f>
        <v>0</v>
      </c>
      <c r="E24" s="1" t="s">
        <v>18</v>
      </c>
      <c r="F24" s="1382">
        <f ca="1">VLOOKUP($B24,Geometrie!$A:$R,18,FALSE)</f>
        <v>0</v>
      </c>
      <c r="G24" s="1383">
        <f>VLOOKUP($B24,Geometrie!$A:$R,14,FALSE)</f>
        <v>0</v>
      </c>
      <c r="H24" s="630">
        <f t="shared" si="2"/>
        <v>1</v>
      </c>
      <c r="I24" s="355">
        <f t="shared" ca="1" si="0"/>
        <v>0</v>
      </c>
      <c r="K24" s="87"/>
      <c r="L24" s="87" t="str">
        <f t="shared" si="1"/>
        <v>HT AW 7</v>
      </c>
      <c r="P24" s="30" t="s">
        <v>955</v>
      </c>
      <c r="R24" s="30"/>
      <c r="S24" s="30"/>
      <c r="T24" s="30"/>
      <c r="U24" s="30"/>
      <c r="V24" s="30"/>
      <c r="W24" s="30"/>
      <c r="X24" s="30"/>
      <c r="AB24" s="573"/>
    </row>
    <row r="25" spans="2:40" ht="16.5" customHeight="1" thickBot="1">
      <c r="B25" s="82" t="s">
        <v>26</v>
      </c>
      <c r="C25" s="1393">
        <f>VLOOKUP($B25,Geometrie!$A:$R,2,FALSE)</f>
        <v>0</v>
      </c>
      <c r="E25" s="1" t="s">
        <v>18</v>
      </c>
      <c r="F25" s="1382">
        <f ca="1">VLOOKUP($B25,Geometrie!$A:$R,18,FALSE)</f>
        <v>0</v>
      </c>
      <c r="G25" s="1383">
        <f>VLOOKUP($B25,Geometrie!$A:$R,14,FALSE)</f>
        <v>0</v>
      </c>
      <c r="H25" s="630">
        <f t="shared" si="2"/>
        <v>1</v>
      </c>
      <c r="I25" s="355">
        <f t="shared" ca="1" si="0"/>
        <v>0</v>
      </c>
      <c r="K25" s="87"/>
      <c r="L25" s="87" t="str">
        <f t="shared" si="1"/>
        <v>HT AW 8</v>
      </c>
      <c r="P25" s="30"/>
      <c r="R25" s="30"/>
      <c r="S25" s="30"/>
      <c r="T25" s="30"/>
      <c r="U25" s="30"/>
      <c r="V25" s="30"/>
      <c r="W25" s="30"/>
      <c r="X25" s="30"/>
      <c r="AB25" s="573"/>
    </row>
    <row r="26" spans="2:40" ht="16.5" customHeight="1" thickBot="1">
      <c r="B26" s="82" t="s">
        <v>27</v>
      </c>
      <c r="C26" s="1393">
        <f>VLOOKUP($B26,Geometrie!$A:$R,2,FALSE)</f>
        <v>0</v>
      </c>
      <c r="E26" s="1" t="s">
        <v>18</v>
      </c>
      <c r="F26" s="1382">
        <f ca="1">VLOOKUP($B26,Geometrie!$A:$R,18,FALSE)</f>
        <v>0</v>
      </c>
      <c r="G26" s="1383">
        <f>VLOOKUP($B26,Geometrie!$A:$R,14,FALSE)</f>
        <v>0</v>
      </c>
      <c r="H26" s="630">
        <f t="shared" si="2"/>
        <v>1</v>
      </c>
      <c r="I26" s="355">
        <f t="shared" ca="1" si="0"/>
        <v>0</v>
      </c>
      <c r="K26" s="87"/>
      <c r="L26" s="87" t="str">
        <f t="shared" si="1"/>
        <v>HT AW 9</v>
      </c>
      <c r="AB26" s="573"/>
    </row>
    <row r="27" spans="2:40" ht="16.5" customHeight="1" thickBot="1">
      <c r="B27" s="82" t="s">
        <v>28</v>
      </c>
      <c r="C27" s="1393">
        <f>VLOOKUP($B27,Geometrie!$A:$R,2,FALSE)</f>
        <v>0</v>
      </c>
      <c r="E27" s="1" t="s">
        <v>18</v>
      </c>
      <c r="F27" s="1382">
        <f ca="1">VLOOKUP($B27,Geometrie!$A:$R,18,FALSE)</f>
        <v>0</v>
      </c>
      <c r="G27" s="1383">
        <f>VLOOKUP($B27,Geometrie!$A:$R,14,FALSE)</f>
        <v>0</v>
      </c>
      <c r="H27" s="630">
        <f t="shared" si="2"/>
        <v>1</v>
      </c>
      <c r="I27" s="355">
        <f t="shared" ca="1" si="0"/>
        <v>0</v>
      </c>
      <c r="K27" s="87"/>
      <c r="L27" s="87" t="str">
        <f t="shared" si="1"/>
        <v>HT AW 10</v>
      </c>
      <c r="AB27" s="573"/>
    </row>
    <row r="28" spans="2:40" ht="16.5" customHeight="1" thickBot="1">
      <c r="B28" s="82" t="s">
        <v>29</v>
      </c>
      <c r="C28" s="1393">
        <f>VLOOKUP($B28,Geometrie!$A:$R,2,FALSE)</f>
        <v>0</v>
      </c>
      <c r="E28" s="1" t="s">
        <v>18</v>
      </c>
      <c r="F28" s="1382">
        <f ca="1">VLOOKUP($B28,Geometrie!$A:$R,18,FALSE)</f>
        <v>0</v>
      </c>
      <c r="G28" s="1383">
        <f>VLOOKUP($B28,Geometrie!$A:$R,14,FALSE)</f>
        <v>0</v>
      </c>
      <c r="H28" s="630">
        <f t="shared" si="2"/>
        <v>1</v>
      </c>
      <c r="I28" s="355">
        <f t="shared" ca="1" si="0"/>
        <v>0</v>
      </c>
      <c r="K28" s="87"/>
      <c r="L28" s="87" t="str">
        <f t="shared" si="1"/>
        <v>HT AW 11</v>
      </c>
    </row>
    <row r="29" spans="2:40" ht="16.5" customHeight="1" thickBot="1">
      <c r="B29" s="82" t="s">
        <v>30</v>
      </c>
      <c r="C29" s="1393">
        <f>VLOOKUP($B29,Geometrie!$A:$R,2,FALSE)</f>
        <v>0</v>
      </c>
      <c r="E29" s="1" t="s">
        <v>18</v>
      </c>
      <c r="F29" s="1382">
        <f ca="1">VLOOKUP($B29,Geometrie!$A:$R,18,FALSE)</f>
        <v>0</v>
      </c>
      <c r="G29" s="1383">
        <f>VLOOKUP($B29,Geometrie!$A:$R,14,FALSE)</f>
        <v>0</v>
      </c>
      <c r="H29" s="630">
        <f t="shared" si="2"/>
        <v>1</v>
      </c>
      <c r="I29" s="355">
        <f t="shared" ca="1" si="0"/>
        <v>0</v>
      </c>
      <c r="K29" s="87"/>
      <c r="L29" s="87" t="str">
        <f t="shared" si="1"/>
        <v>HT AW 12</v>
      </c>
    </row>
    <row r="30" spans="2:40" ht="6.75" customHeight="1">
      <c r="B30" s="82"/>
      <c r="F30" s="607"/>
      <c r="G30" s="747"/>
      <c r="H30" s="630"/>
      <c r="I30" s="355"/>
      <c r="K30" s="87"/>
      <c r="L30" s="87"/>
      <c r="AA30" s="1"/>
      <c r="AB30" s="1"/>
      <c r="AC30" s="1"/>
      <c r="AD30" s="1"/>
      <c r="AE30" s="1"/>
      <c r="AF30" s="1"/>
      <c r="AG30" s="1"/>
      <c r="AH30" s="1"/>
      <c r="AI30" s="1"/>
      <c r="AJ30" s="1"/>
      <c r="AK30" s="1"/>
      <c r="AL30" s="1"/>
      <c r="AM30" s="1"/>
      <c r="AN30" s="1"/>
    </row>
    <row r="31" spans="2:40" ht="16.5" customHeight="1">
      <c r="B31" s="93" t="s">
        <v>31</v>
      </c>
      <c r="F31" s="143"/>
      <c r="G31" s="748"/>
      <c r="H31" s="631"/>
      <c r="I31" s="356"/>
      <c r="K31" s="88">
        <f ca="1">SUM(I32:I37)</f>
        <v>29.654999999999998</v>
      </c>
      <c r="L31" s="87" t="s">
        <v>347</v>
      </c>
      <c r="AA31" s="194" t="s">
        <v>13</v>
      </c>
    </row>
    <row r="32" spans="2:40" ht="16.5" customHeight="1" thickBot="1">
      <c r="B32" s="82" t="s">
        <v>70</v>
      </c>
      <c r="C32" s="1" t="str">
        <f t="shared" ref="C32:C41" si="3">IF(D32&gt;0,VLOOKUP(D32,$B$18:$C$29,2,FALSE),"")</f>
        <v>Nord</v>
      </c>
      <c r="D32" s="1393" t="str">
        <f>VLOOKUP($B32,Geometrie!$A:$R,4,FALSE)</f>
        <v>AW 1</v>
      </c>
      <c r="E32" s="1" t="s">
        <v>18</v>
      </c>
      <c r="F32" s="1382">
        <f ca="1">VLOOKUP($B32,Geometrie!$A:$R,18,FALSE)</f>
        <v>5.5</v>
      </c>
      <c r="G32" s="1383">
        <f>VLOOKUP($B32,Geometrie!$A:$R,14,FALSE)</f>
        <v>0.9</v>
      </c>
      <c r="H32" s="630">
        <f>H29</f>
        <v>1</v>
      </c>
      <c r="I32" s="355">
        <f t="shared" ref="I32:I37" ca="1" si="4">F32*G32*H32</f>
        <v>4.95</v>
      </c>
      <c r="K32" s="87"/>
      <c r="L32" s="87"/>
      <c r="O32" s="129"/>
      <c r="AA32" s="196" t="s">
        <v>11</v>
      </c>
    </row>
    <row r="33" spans="2:40" ht="16.5" customHeight="1" thickBot="1">
      <c r="B33" s="82" t="s">
        <v>83</v>
      </c>
      <c r="C33" s="1" t="str">
        <f t="shared" si="3"/>
        <v>West</v>
      </c>
      <c r="D33" s="1393" t="str">
        <f>VLOOKUP($B33,Geometrie!$A:$R,4,FALSE)</f>
        <v>AW 2</v>
      </c>
      <c r="E33" s="1" t="s">
        <v>18</v>
      </c>
      <c r="F33" s="1382">
        <f ca="1">VLOOKUP($B33,Geometrie!$A:$R,18,FALSE)</f>
        <v>8</v>
      </c>
      <c r="G33" s="1383">
        <f>VLOOKUP($B33,Geometrie!$A:$R,14,FALSE)</f>
        <v>0.9</v>
      </c>
      <c r="H33" s="630">
        <f>H32</f>
        <v>1</v>
      </c>
      <c r="I33" s="355">
        <f t="shared" ca="1" si="4"/>
        <v>7.2</v>
      </c>
      <c r="K33" s="87"/>
      <c r="L33" s="87"/>
      <c r="O33" s="129"/>
      <c r="AA33" s="196" t="s">
        <v>982</v>
      </c>
    </row>
    <row r="34" spans="2:40" ht="16.5" customHeight="1" thickBot="1">
      <c r="B34" s="82" t="s">
        <v>84</v>
      </c>
      <c r="C34" s="1" t="str">
        <f t="shared" si="3"/>
        <v>Süd</v>
      </c>
      <c r="D34" s="1393" t="str">
        <f>VLOOKUP($B34,Geometrie!$A:$R,4,FALSE)</f>
        <v>AW 3</v>
      </c>
      <c r="E34" s="1" t="s">
        <v>18</v>
      </c>
      <c r="F34" s="1382">
        <f ca="1">VLOOKUP($B34,Geometrie!$A:$R,18,FALSE)</f>
        <v>11.66</v>
      </c>
      <c r="G34" s="1383">
        <f>VLOOKUP($B34,Geometrie!$A:$R,14,FALSE)</f>
        <v>0.9</v>
      </c>
      <c r="H34" s="630">
        <f>H33</f>
        <v>1</v>
      </c>
      <c r="I34" s="355">
        <f t="shared" ca="1" si="4"/>
        <v>10.494</v>
      </c>
      <c r="K34" s="87"/>
      <c r="L34" s="87"/>
      <c r="O34" s="129"/>
      <c r="AA34" s="196" t="s">
        <v>983</v>
      </c>
    </row>
    <row r="35" spans="2:40" ht="16.5" customHeight="1" thickBot="1">
      <c r="B35" s="82" t="s">
        <v>85</v>
      </c>
      <c r="C35" s="1" t="str">
        <f t="shared" si="3"/>
        <v>Ost</v>
      </c>
      <c r="D35" s="1393" t="str">
        <f>VLOOKUP($B35,Geometrie!$A:$R,4,FALSE)</f>
        <v>AW 4</v>
      </c>
      <c r="E35" s="1" t="s">
        <v>18</v>
      </c>
      <c r="F35" s="1382">
        <f ca="1">VLOOKUP($B35,Geometrie!$A:$R,18,FALSE)</f>
        <v>7.79</v>
      </c>
      <c r="G35" s="1383">
        <f>VLOOKUP($B35,Geometrie!$A:$R,14,FALSE)</f>
        <v>0.9</v>
      </c>
      <c r="H35" s="630">
        <f>H34</f>
        <v>1</v>
      </c>
      <c r="I35" s="355">
        <f t="shared" ca="1" si="4"/>
        <v>7.0110000000000001</v>
      </c>
      <c r="K35" s="87"/>
      <c r="L35" s="87"/>
      <c r="O35" s="129"/>
      <c r="AA35" s="196" t="s">
        <v>980</v>
      </c>
    </row>
    <row r="36" spans="2:40" ht="16.5" customHeight="1" thickBot="1">
      <c r="B36" s="82" t="s">
        <v>86</v>
      </c>
      <c r="C36" s="1" t="str">
        <f t="shared" si="3"/>
        <v/>
      </c>
      <c r="D36" s="1393">
        <f>VLOOKUP($B36,Geometrie!$A:$R,4,FALSE)</f>
        <v>0</v>
      </c>
      <c r="E36" s="1" t="s">
        <v>18</v>
      </c>
      <c r="F36" s="1382">
        <f ca="1">VLOOKUP($B36,Geometrie!$A:$R,18,FALSE)</f>
        <v>0</v>
      </c>
      <c r="G36" s="1383">
        <f>VLOOKUP($B36,Geometrie!$A:$R,14,FALSE)</f>
        <v>0</v>
      </c>
      <c r="H36" s="630">
        <f>H35</f>
        <v>1</v>
      </c>
      <c r="I36" s="355">
        <f t="shared" ca="1" si="4"/>
        <v>0</v>
      </c>
      <c r="K36" s="87"/>
      <c r="L36" s="87"/>
      <c r="O36" s="129"/>
      <c r="AA36" s="196" t="s">
        <v>981</v>
      </c>
    </row>
    <row r="37" spans="2:40" ht="16.5" customHeight="1" thickBot="1">
      <c r="B37" s="82" t="s">
        <v>87</v>
      </c>
      <c r="C37" s="1" t="str">
        <f t="shared" si="3"/>
        <v/>
      </c>
      <c r="D37" s="1393">
        <f>VLOOKUP($B37,Geometrie!$A:$R,4,FALSE)</f>
        <v>0</v>
      </c>
      <c r="E37" s="1" t="s">
        <v>18</v>
      </c>
      <c r="F37" s="1382">
        <f ca="1">VLOOKUP($B37,Geometrie!$A:$R,18,FALSE)</f>
        <v>0</v>
      </c>
      <c r="G37" s="1383">
        <f>VLOOKUP($B37,Geometrie!$A:$R,14,FALSE)</f>
        <v>0</v>
      </c>
      <c r="H37" s="630">
        <f>H36</f>
        <v>1</v>
      </c>
      <c r="I37" s="355">
        <f t="shared" ca="1" si="4"/>
        <v>0</v>
      </c>
      <c r="K37" s="87"/>
      <c r="L37" s="87"/>
      <c r="O37" s="129"/>
      <c r="P37" s="129"/>
      <c r="AA37" s="196" t="s">
        <v>984</v>
      </c>
    </row>
    <row r="38" spans="2:40" ht="6.75" customHeight="1">
      <c r="B38" s="82"/>
      <c r="F38" s="619"/>
      <c r="G38" s="747"/>
      <c r="H38" s="630"/>
      <c r="I38" s="355"/>
      <c r="K38" s="87"/>
      <c r="L38" s="87"/>
      <c r="O38" s="129"/>
      <c r="P38" s="129"/>
      <c r="AA38" s="196" t="s">
        <v>985</v>
      </c>
      <c r="AB38" s="1"/>
      <c r="AC38" s="1"/>
      <c r="AD38" s="1"/>
      <c r="AE38" s="1"/>
      <c r="AF38" s="1"/>
      <c r="AG38" s="1"/>
      <c r="AH38" s="1"/>
      <c r="AI38" s="1"/>
      <c r="AJ38" s="1"/>
      <c r="AK38" s="1"/>
      <c r="AL38" s="1"/>
      <c r="AM38" s="1"/>
      <c r="AN38" s="1"/>
    </row>
    <row r="39" spans="2:40" ht="16.5" customHeight="1">
      <c r="B39" s="93" t="s">
        <v>33</v>
      </c>
      <c r="F39" s="143"/>
      <c r="G39" s="748"/>
      <c r="H39" s="631"/>
      <c r="I39" s="356"/>
      <c r="K39" s="88">
        <f ca="1">SUM(I40:I41)</f>
        <v>6.8580000000000005</v>
      </c>
      <c r="L39" s="87" t="s">
        <v>348</v>
      </c>
      <c r="O39" s="129"/>
      <c r="AA39" s="200" t="s">
        <v>12</v>
      </c>
    </row>
    <row r="40" spans="2:40" ht="16.5" customHeight="1" thickBot="1">
      <c r="B40" s="82" t="s">
        <v>88</v>
      </c>
      <c r="C40" s="1" t="str">
        <f t="shared" si="3"/>
        <v>Nord</v>
      </c>
      <c r="D40" s="1393" t="str">
        <f>VLOOKUP($B40,Geometrie!$A:$R,4,FALSE)</f>
        <v>AW 1</v>
      </c>
      <c r="E40" s="1" t="s">
        <v>18</v>
      </c>
      <c r="F40" s="1382">
        <f ca="1">VLOOKUP($B40,Geometrie!$A:$R,18,FALSE)</f>
        <v>3.81</v>
      </c>
      <c r="G40" s="1383">
        <f>VLOOKUP($B40,Geometrie!$A:$R,14,FALSE)</f>
        <v>1.8</v>
      </c>
      <c r="H40" s="630">
        <f>H37</f>
        <v>1</v>
      </c>
      <c r="I40" s="355">
        <f ca="1">F40*G40*H40</f>
        <v>6.8580000000000005</v>
      </c>
      <c r="K40" s="87"/>
      <c r="L40" s="87"/>
      <c r="O40" s="129"/>
    </row>
    <row r="41" spans="2:40" ht="16.5" customHeight="1">
      <c r="B41" s="117" t="s">
        <v>114</v>
      </c>
      <c r="C41" s="86" t="str">
        <f t="shared" si="3"/>
        <v/>
      </c>
      <c r="D41" s="1394">
        <f>VLOOKUP($B41,Geometrie!$A:$R,4,FALSE)</f>
        <v>0</v>
      </c>
      <c r="E41" s="86" t="s">
        <v>18</v>
      </c>
      <c r="F41" s="1384">
        <f ca="1">VLOOKUP($B41,Geometrie!$A:$R,18,FALSE)</f>
        <v>0</v>
      </c>
      <c r="G41" s="1385">
        <f>VLOOKUP($B41,Geometrie!$A:$R,14,FALSE)</f>
        <v>0</v>
      </c>
      <c r="H41" s="632">
        <f>H40</f>
        <v>1</v>
      </c>
      <c r="I41" s="625">
        <f ca="1">F41*G41*H41</f>
        <v>0</v>
      </c>
      <c r="K41" s="87"/>
      <c r="L41" s="87"/>
      <c r="O41" s="129"/>
    </row>
    <row r="42" spans="2:40" ht="26.4">
      <c r="B42" s="621" t="s">
        <v>9</v>
      </c>
      <c r="C42" s="622" t="s">
        <v>38</v>
      </c>
      <c r="D42" s="622" t="s">
        <v>75</v>
      </c>
      <c r="E42" s="622" t="s">
        <v>1795</v>
      </c>
      <c r="F42" s="635" t="s">
        <v>0</v>
      </c>
      <c r="G42" s="622" t="s">
        <v>1</v>
      </c>
      <c r="H42" s="622" t="s">
        <v>2</v>
      </c>
      <c r="I42" s="623" t="s">
        <v>3</v>
      </c>
      <c r="K42" s="87"/>
      <c r="L42" s="87"/>
    </row>
    <row r="43" spans="2:40" ht="16.5" customHeight="1">
      <c r="B43" s="344"/>
      <c r="C43" s="309"/>
      <c r="D43" s="346" t="s">
        <v>76</v>
      </c>
      <c r="E43" s="309" t="s">
        <v>115</v>
      </c>
      <c r="F43" s="618" t="s">
        <v>8</v>
      </c>
      <c r="G43" s="618" t="s">
        <v>5</v>
      </c>
      <c r="H43" s="618" t="s">
        <v>6</v>
      </c>
      <c r="I43" s="709" t="s">
        <v>2458</v>
      </c>
      <c r="K43" s="87"/>
      <c r="L43" s="87"/>
      <c r="AA43" s="574"/>
    </row>
    <row r="44" spans="2:40" ht="16.5" customHeight="1">
      <c r="B44" s="93" t="s">
        <v>34</v>
      </c>
      <c r="F44" s="96"/>
      <c r="G44" s="96"/>
      <c r="I44" s="85"/>
      <c r="K44" s="88">
        <f ca="1">SUM(I45:I52)</f>
        <v>8.3503194928904119</v>
      </c>
      <c r="L44" s="87" t="s">
        <v>349</v>
      </c>
      <c r="AA44" s="194" t="s">
        <v>18</v>
      </c>
    </row>
    <row r="45" spans="2:40" ht="16.5" customHeight="1" thickBot="1">
      <c r="B45" s="82" t="s">
        <v>89</v>
      </c>
      <c r="C45" s="1393" t="str">
        <f>VLOOKUP($B45,Geometrie!$A:$R,2,FALSE)</f>
        <v>Nord</v>
      </c>
      <c r="E45" s="1395" t="str">
        <f>VLOOKUP($B45,Geometrie!$A:$R,3,FALSE)</f>
        <v>45°</v>
      </c>
      <c r="F45" s="1382">
        <f ca="1">VLOOKUP($B45,Geometrie!$A:$R,18,FALSE)</f>
        <v>22.648000000000003</v>
      </c>
      <c r="G45" s="1383">
        <f ca="1">VLOOKUP($B45,Geometrie!$A:$R,14,FALSE)</f>
        <v>0.17835398371787425</v>
      </c>
      <c r="H45" s="630">
        <f>H41</f>
        <v>1</v>
      </c>
      <c r="I45" s="355">
        <f t="shared" ref="I45:I52" ca="1" si="5">F45*G45*H45</f>
        <v>4.0393610232424164</v>
      </c>
      <c r="K45" s="87"/>
      <c r="L45" s="87"/>
      <c r="AA45" s="196" t="s">
        <v>17</v>
      </c>
    </row>
    <row r="46" spans="2:40" ht="16.5" customHeight="1" thickBot="1">
      <c r="B46" s="82" t="s">
        <v>90</v>
      </c>
      <c r="C46" s="1393" t="str">
        <f>VLOOKUP($B46,Geometrie!$A:$R,2,FALSE)</f>
        <v>Süd</v>
      </c>
      <c r="E46" s="1395" t="str">
        <f>VLOOKUP($B46,Geometrie!$A:$R,3,FALSE)</f>
        <v>45°</v>
      </c>
      <c r="F46" s="1382">
        <f ca="1">VLOOKUP($B46,Geometrie!$A:$R,18,FALSE)</f>
        <v>22.648000000000003</v>
      </c>
      <c r="G46" s="1383">
        <f ca="1">VLOOKUP($B46,Geometrie!$A:$R,14,FALSE)</f>
        <v>0.17835398371787425</v>
      </c>
      <c r="H46" s="630">
        <f t="shared" ref="H46:H52" si="6">H45</f>
        <v>1</v>
      </c>
      <c r="I46" s="355">
        <f t="shared" ca="1" si="5"/>
        <v>4.0393610232424164</v>
      </c>
      <c r="K46" s="87"/>
      <c r="L46" s="87"/>
      <c r="AA46" s="196" t="s">
        <v>16</v>
      </c>
    </row>
    <row r="47" spans="2:40" ht="16.5" customHeight="1" thickBot="1">
      <c r="B47" s="82" t="s">
        <v>91</v>
      </c>
      <c r="C47" s="1393" t="str">
        <f>VLOOKUP($B47,Geometrie!$A:$R,2,FALSE)</f>
        <v>Ost</v>
      </c>
      <c r="E47" s="1395" t="str">
        <f>VLOOKUP($B47,Geometrie!$A:$R,3,FALSE)</f>
        <v>45°</v>
      </c>
      <c r="F47" s="1382">
        <f ca="1">VLOOKUP($B47,Geometrie!$A:$R,18,FALSE)</f>
        <v>0.76140000000000008</v>
      </c>
      <c r="G47" s="1383">
        <f ca="1">VLOOKUP($B47,Geometrie!$A:$R,14,FALSE)</f>
        <v>0.17835398371787425</v>
      </c>
      <c r="H47" s="630">
        <f t="shared" si="6"/>
        <v>1</v>
      </c>
      <c r="I47" s="355">
        <f t="shared" ca="1" si="5"/>
        <v>0.13579872320278946</v>
      </c>
      <c r="K47" s="87"/>
      <c r="L47" s="87"/>
      <c r="AA47" s="196" t="s">
        <v>15</v>
      </c>
    </row>
    <row r="48" spans="2:40" ht="16.5" customHeight="1" thickBot="1">
      <c r="B48" s="82" t="s">
        <v>92</v>
      </c>
      <c r="C48" s="1393" t="str">
        <f>VLOOKUP($B48,Geometrie!$A:$R,2,FALSE)</f>
        <v>Ost</v>
      </c>
      <c r="E48" s="1395" t="str">
        <f>VLOOKUP($B48,Geometrie!$A:$R,3,FALSE)</f>
        <v>45°</v>
      </c>
      <c r="F48" s="1382">
        <f ca="1">VLOOKUP($B48,Geometrie!$A:$R,18,FALSE)</f>
        <v>0.76140000000000008</v>
      </c>
      <c r="G48" s="1383">
        <f ca="1">VLOOKUP($B48,Geometrie!$A:$R,14,FALSE)</f>
        <v>0.17835398371787425</v>
      </c>
      <c r="H48" s="630">
        <f t="shared" si="6"/>
        <v>1</v>
      </c>
      <c r="I48" s="355">
        <f t="shared" ca="1" si="5"/>
        <v>0.13579872320278946</v>
      </c>
      <c r="K48" s="87"/>
      <c r="L48" s="87"/>
      <c r="AA48" s="200" t="s">
        <v>14</v>
      </c>
    </row>
    <row r="49" spans="2:40" ht="16.5" customHeight="1" thickBot="1">
      <c r="B49" s="82" t="s">
        <v>93</v>
      </c>
      <c r="C49" s="1393">
        <f>VLOOKUP($B49,Geometrie!$A:$R,2,FALSE)</f>
        <v>0</v>
      </c>
      <c r="E49" s="1395">
        <f>VLOOKUP($B49,Geometrie!$A:$R,3,FALSE)</f>
        <v>0</v>
      </c>
      <c r="F49" s="1382">
        <f ca="1">VLOOKUP($B49,Geometrie!$A:$R,18,FALSE)</f>
        <v>0</v>
      </c>
      <c r="G49" s="1383">
        <f ca="1">VLOOKUP($B49,Geometrie!$A:$R,14,FALSE)</f>
        <v>0.17835398371787425</v>
      </c>
      <c r="H49" s="630">
        <f t="shared" si="6"/>
        <v>1</v>
      </c>
      <c r="I49" s="355">
        <f t="shared" ca="1" si="5"/>
        <v>0</v>
      </c>
      <c r="K49" s="87"/>
      <c r="L49" s="87"/>
    </row>
    <row r="50" spans="2:40" ht="16.5" customHeight="1" thickBot="1">
      <c r="B50" s="82" t="s">
        <v>94</v>
      </c>
      <c r="C50" s="1393">
        <f>VLOOKUP($B50,Geometrie!$A:$R,2,FALSE)</f>
        <v>0</v>
      </c>
      <c r="E50" s="1395">
        <f>VLOOKUP($B50,Geometrie!$A:$R,3,FALSE)</f>
        <v>0</v>
      </c>
      <c r="F50" s="1382">
        <f ca="1">VLOOKUP($B50,Geometrie!$A:$R,18,FALSE)</f>
        <v>0</v>
      </c>
      <c r="G50" s="1383">
        <f>VLOOKUP($B50,Geometrie!$A:$R,14,FALSE)</f>
        <v>0</v>
      </c>
      <c r="H50" s="630">
        <f t="shared" si="6"/>
        <v>1</v>
      </c>
      <c r="I50" s="355">
        <f t="shared" ca="1" si="5"/>
        <v>0</v>
      </c>
      <c r="K50" s="87"/>
      <c r="L50" s="87"/>
    </row>
    <row r="51" spans="2:40" ht="16.5" customHeight="1" thickBot="1">
      <c r="B51" s="82" t="s">
        <v>95</v>
      </c>
      <c r="C51" s="1393">
        <f>VLOOKUP($B51,Geometrie!$A:$R,2,FALSE)</f>
        <v>0</v>
      </c>
      <c r="E51" s="1395">
        <f>VLOOKUP($B51,Geometrie!$A:$R,3,FALSE)</f>
        <v>0</v>
      </c>
      <c r="F51" s="1382">
        <f ca="1">VLOOKUP($B51,Geometrie!$A:$R,18,FALSE)</f>
        <v>0</v>
      </c>
      <c r="G51" s="1383">
        <f>VLOOKUP($B51,Geometrie!$A:$R,14,FALSE)</f>
        <v>0</v>
      </c>
      <c r="H51" s="630">
        <f t="shared" si="6"/>
        <v>1</v>
      </c>
      <c r="I51" s="355">
        <f t="shared" ca="1" si="5"/>
        <v>0</v>
      </c>
      <c r="K51" s="87"/>
      <c r="L51" s="87"/>
    </row>
    <row r="52" spans="2:40" ht="16.5" customHeight="1" thickBot="1">
      <c r="B52" s="82" t="s">
        <v>96</v>
      </c>
      <c r="C52" s="1393">
        <f>VLOOKUP($B52,Geometrie!$A:$R,2,FALSE)</f>
        <v>0</v>
      </c>
      <c r="E52" s="1395">
        <f>VLOOKUP($B52,Geometrie!$A:$R,3,FALSE)</f>
        <v>0</v>
      </c>
      <c r="F52" s="1382">
        <f ca="1">VLOOKUP($B52,Geometrie!$A:$R,18,FALSE)</f>
        <v>0</v>
      </c>
      <c r="G52" s="1383">
        <f>VLOOKUP($B52,Geometrie!$A:$R,14,FALSE)</f>
        <v>0</v>
      </c>
      <c r="H52" s="630">
        <f t="shared" si="6"/>
        <v>1</v>
      </c>
      <c r="I52" s="355">
        <f t="shared" ca="1" si="5"/>
        <v>0</v>
      </c>
      <c r="K52" s="87"/>
      <c r="L52" s="87"/>
    </row>
    <row r="53" spans="2:40" ht="6.75" customHeight="1">
      <c r="B53" s="82"/>
      <c r="F53" s="619"/>
      <c r="G53" s="747"/>
      <c r="H53" s="630"/>
      <c r="I53" s="355"/>
      <c r="K53" s="87"/>
      <c r="L53" s="87"/>
      <c r="AA53" s="1"/>
      <c r="AB53" s="1"/>
      <c r="AC53" s="1"/>
      <c r="AD53" s="1"/>
      <c r="AE53" s="1"/>
      <c r="AF53" s="1"/>
      <c r="AG53" s="1"/>
      <c r="AH53" s="1"/>
      <c r="AI53" s="1"/>
      <c r="AJ53" s="1"/>
      <c r="AK53" s="1"/>
      <c r="AL53" s="1"/>
      <c r="AM53" s="1"/>
      <c r="AN53" s="1"/>
    </row>
    <row r="54" spans="2:40" ht="16.5" customHeight="1">
      <c r="B54" s="93" t="s">
        <v>35</v>
      </c>
      <c r="F54" s="143"/>
      <c r="G54" s="748"/>
      <c r="H54" s="631"/>
      <c r="I54" s="356"/>
      <c r="K54" s="88">
        <f ca="1">SUM(I55:I58)</f>
        <v>0</v>
      </c>
      <c r="L54" s="87" t="s">
        <v>350</v>
      </c>
    </row>
    <row r="55" spans="2:40" ht="16.5" customHeight="1" thickBot="1">
      <c r="B55" s="82" t="s">
        <v>97</v>
      </c>
      <c r="C55" s="1" t="str">
        <f>IF(D55&gt;0,VLOOKUP(D55,$B$45:$C$52,2,FALSE),"")</f>
        <v/>
      </c>
      <c r="D55" s="1393">
        <f>VLOOKUP($B55,Geometrie!$A:$R,4,FALSE)</f>
        <v>0</v>
      </c>
      <c r="E55" s="1" t="str">
        <f>IF(D55&gt;0,VLOOKUP(D55,$B$45:$E$52,4,FALSE),"")</f>
        <v/>
      </c>
      <c r="F55" s="1382">
        <f ca="1">VLOOKUP($B55,Geometrie!$A:$R,18,FALSE)</f>
        <v>0</v>
      </c>
      <c r="G55" s="1383">
        <f>VLOOKUP($B55,Geometrie!$A:$R,14,FALSE)</f>
        <v>0</v>
      </c>
      <c r="H55" s="630">
        <f>H52</f>
        <v>1</v>
      </c>
      <c r="I55" s="355">
        <f ca="1">F55*G55*H55</f>
        <v>0</v>
      </c>
      <c r="K55" s="87"/>
      <c r="L55" s="87"/>
    </row>
    <row r="56" spans="2:40" ht="16.5" customHeight="1" thickBot="1">
      <c r="B56" s="82" t="s">
        <v>98</v>
      </c>
      <c r="C56" s="1" t="str">
        <f>IF(D56&gt;0,VLOOKUP(D56,$B$45:$C$52,2,FALSE),"")</f>
        <v/>
      </c>
      <c r="D56" s="1393">
        <f>VLOOKUP($B56,Geometrie!$A:$R,4,FALSE)</f>
        <v>0</v>
      </c>
      <c r="E56" s="1" t="str">
        <f>IF(D56&gt;0,VLOOKUP(D56,$B$45:$E$52,4,FALSE),"")</f>
        <v/>
      </c>
      <c r="F56" s="1382">
        <f ca="1">VLOOKUP($B56,Geometrie!$A:$R,18,FALSE)</f>
        <v>0</v>
      </c>
      <c r="G56" s="1383">
        <f>VLOOKUP($B56,Geometrie!$A:$R,14,FALSE)</f>
        <v>0</v>
      </c>
      <c r="H56" s="630">
        <f>H55</f>
        <v>1</v>
      </c>
      <c r="I56" s="355">
        <f ca="1">F56*G56*H56</f>
        <v>0</v>
      </c>
      <c r="K56" s="87"/>
      <c r="L56" s="87"/>
    </row>
    <row r="57" spans="2:40" ht="16.5" customHeight="1" thickBot="1">
      <c r="B57" s="82" t="s">
        <v>99</v>
      </c>
      <c r="C57" s="1" t="str">
        <f>IF(D57&gt;0,VLOOKUP(D57,$B$45:$C$52,2,FALSE),"")</f>
        <v/>
      </c>
      <c r="D57" s="1393">
        <f>VLOOKUP($B57,Geometrie!$A:$R,4,FALSE)</f>
        <v>0</v>
      </c>
      <c r="E57" s="1" t="str">
        <f>IF(D57&gt;0,VLOOKUP(D57,$B$45:$E$52,4,FALSE),"")</f>
        <v/>
      </c>
      <c r="F57" s="1382">
        <f ca="1">VLOOKUP($B57,Geometrie!$A:$R,18,FALSE)</f>
        <v>0</v>
      </c>
      <c r="G57" s="1383">
        <f>VLOOKUP($B57,Geometrie!$A:$R,14,FALSE)</f>
        <v>0</v>
      </c>
      <c r="H57" s="630">
        <f>H56</f>
        <v>1</v>
      </c>
      <c r="I57" s="355">
        <f ca="1">F57*G57*H57</f>
        <v>0</v>
      </c>
      <c r="K57" s="87"/>
      <c r="L57" s="87"/>
    </row>
    <row r="58" spans="2:40" ht="16.5" customHeight="1" thickBot="1">
      <c r="B58" s="82" t="s">
        <v>100</v>
      </c>
      <c r="C58" s="1" t="str">
        <f>IF(D58&gt;0,VLOOKUP(D58,$B$45:$C$52,2,FALSE),"")</f>
        <v/>
      </c>
      <c r="D58" s="1393">
        <f>VLOOKUP($B58,Geometrie!$A:$R,4,FALSE)</f>
        <v>0</v>
      </c>
      <c r="E58" s="1" t="str">
        <f>IF(D58&gt;0,VLOOKUP(D58,$B$45:$E$52,4,FALSE),"")</f>
        <v/>
      </c>
      <c r="F58" s="1382">
        <f ca="1">VLOOKUP($B58,Geometrie!$A:$R,18,FALSE)</f>
        <v>0</v>
      </c>
      <c r="G58" s="1383">
        <f>VLOOKUP($B58,Geometrie!$A:$R,14,FALSE)</f>
        <v>0</v>
      </c>
      <c r="H58" s="630">
        <f>H57</f>
        <v>1</v>
      </c>
      <c r="I58" s="355">
        <f ca="1">F58*G58*H58</f>
        <v>0</v>
      </c>
      <c r="K58" s="87"/>
      <c r="L58" s="87"/>
    </row>
    <row r="59" spans="2:40" ht="6.75" customHeight="1">
      <c r="B59" s="82"/>
      <c r="F59" s="619"/>
      <c r="G59" s="747"/>
      <c r="H59" s="94"/>
      <c r="I59" s="355"/>
      <c r="K59" s="87"/>
      <c r="L59" s="87"/>
      <c r="AA59" s="1"/>
      <c r="AB59" s="1"/>
      <c r="AC59" s="1"/>
      <c r="AD59" s="1"/>
      <c r="AE59" s="1"/>
      <c r="AF59" s="1"/>
      <c r="AG59" s="1"/>
      <c r="AH59" s="1"/>
      <c r="AI59" s="1"/>
      <c r="AJ59" s="1"/>
      <c r="AK59" s="1"/>
      <c r="AL59" s="1"/>
      <c r="AM59" s="1"/>
      <c r="AN59" s="1"/>
    </row>
    <row r="60" spans="2:40" ht="16.5" customHeight="1">
      <c r="B60" s="93" t="s">
        <v>36</v>
      </c>
      <c r="F60" s="96"/>
      <c r="G60" s="748"/>
      <c r="I60" s="356"/>
      <c r="K60" s="88">
        <f ca="1">SUM(I61:I63)</f>
        <v>9.0562308066258961</v>
      </c>
      <c r="L60" s="87" t="s">
        <v>356</v>
      </c>
    </row>
    <row r="61" spans="2:40" ht="16.5" customHeight="1" thickBot="1">
      <c r="B61" s="82" t="s">
        <v>1788</v>
      </c>
      <c r="C61" s="1" t="s">
        <v>354</v>
      </c>
      <c r="F61" s="1382">
        <f ca="1">VLOOKUP($B61,Geometrie!$A:$R,18,FALSE)</f>
        <v>58.266900000000007</v>
      </c>
      <c r="G61" s="1383">
        <f ca="1">VLOOKUP($B61,Geometrie!$A:$R,14,FALSE)</f>
        <v>0.1942833496939492</v>
      </c>
      <c r="H61" s="94">
        <v>0.8</v>
      </c>
      <c r="I61" s="355">
        <f ca="1">F61*G61*H61</f>
        <v>9.0562308066258961</v>
      </c>
      <c r="K61" s="87"/>
      <c r="L61" s="87"/>
    </row>
    <row r="62" spans="2:40" ht="16.5" customHeight="1" thickBot="1">
      <c r="B62" s="82" t="s">
        <v>1789</v>
      </c>
      <c r="C62" s="1" t="s">
        <v>354</v>
      </c>
      <c r="F62" s="1382">
        <f ca="1">VLOOKUP($B62,Geometrie!$A:$R,18,FALSE)</f>
        <v>0</v>
      </c>
      <c r="G62" s="1383">
        <f>VLOOKUP($B62,Geometrie!$A:$R,14,FALSE)</f>
        <v>0</v>
      </c>
      <c r="H62" s="94">
        <f>H61</f>
        <v>0.8</v>
      </c>
      <c r="I62" s="355">
        <f ca="1">F62*G62*H62</f>
        <v>0</v>
      </c>
      <c r="K62" s="87"/>
      <c r="L62" s="87"/>
    </row>
    <row r="63" spans="2:40" ht="16.5" customHeight="1" thickBot="1">
      <c r="B63" s="82" t="s">
        <v>1790</v>
      </c>
      <c r="C63" s="1" t="s">
        <v>354</v>
      </c>
      <c r="F63" s="1382">
        <f ca="1">VLOOKUP($B63,Geometrie!$A:$R,18,FALSE)</f>
        <v>0</v>
      </c>
      <c r="G63" s="1383">
        <f>VLOOKUP($B63,Geometrie!$A:$R,14,FALSE)</f>
        <v>0</v>
      </c>
      <c r="H63" s="94">
        <f>H62</f>
        <v>0.8</v>
      </c>
      <c r="I63" s="355">
        <f ca="1">F63*G63*H63</f>
        <v>0</v>
      </c>
      <c r="K63" s="87"/>
      <c r="L63" s="87"/>
    </row>
    <row r="64" spans="2:40" ht="6.75" customHeight="1">
      <c r="B64" s="82"/>
      <c r="F64" s="619"/>
      <c r="G64" s="747"/>
      <c r="H64" s="94"/>
      <c r="I64" s="355"/>
      <c r="K64" s="87"/>
      <c r="L64" s="87"/>
      <c r="AA64" s="1"/>
      <c r="AB64" s="1"/>
      <c r="AC64" s="1"/>
      <c r="AD64" s="1"/>
      <c r="AE64" s="1"/>
      <c r="AF64" s="1"/>
      <c r="AG64" s="1"/>
      <c r="AH64" s="1"/>
      <c r="AI64" s="1"/>
      <c r="AJ64" s="1"/>
      <c r="AK64" s="1"/>
      <c r="AL64" s="1"/>
      <c r="AM64" s="1"/>
      <c r="AN64" s="1"/>
    </row>
    <row r="65" spans="2:40" ht="16.5" customHeight="1">
      <c r="B65" s="93" t="s">
        <v>37</v>
      </c>
      <c r="F65" s="143"/>
      <c r="G65" s="748"/>
      <c r="I65" s="356"/>
      <c r="K65" s="88">
        <f ca="1">SUM(I66:I68)</f>
        <v>0</v>
      </c>
      <c r="L65" s="87" t="s">
        <v>357</v>
      </c>
      <c r="AA65" s="353"/>
      <c r="AB65" s="353" t="s">
        <v>1741</v>
      </c>
      <c r="AC65" s="353"/>
      <c r="AD65" s="353" t="s">
        <v>1742</v>
      </c>
      <c r="AE65" s="353"/>
      <c r="AF65" s="353" t="s">
        <v>1743</v>
      </c>
      <c r="AG65" s="353"/>
    </row>
    <row r="66" spans="2:40" ht="16.5" customHeight="1" thickBot="1">
      <c r="B66" s="82" t="s">
        <v>101</v>
      </c>
      <c r="C66" s="1" t="s">
        <v>2496</v>
      </c>
      <c r="F66" s="1382">
        <f ca="1">VLOOKUP($B66,Geometrie!$A:$R,18,FALSE)</f>
        <v>0</v>
      </c>
      <c r="G66" s="1383">
        <f>VLOOKUP($B66,Geometrie!$A:$R,14,FALSE)</f>
        <v>0</v>
      </c>
      <c r="H66" s="94">
        <f>H63</f>
        <v>0.8</v>
      </c>
      <c r="I66" s="355">
        <f ca="1">F66*G66*H66</f>
        <v>0</v>
      </c>
      <c r="K66" s="87"/>
      <c r="L66" s="87"/>
      <c r="AA66" s="575"/>
      <c r="AB66" s="353" t="s">
        <v>1744</v>
      </c>
      <c r="AC66" s="353" t="s">
        <v>1745</v>
      </c>
      <c r="AD66" s="353" t="s">
        <v>1744</v>
      </c>
      <c r="AE66" s="353" t="s">
        <v>1745</v>
      </c>
      <c r="AF66" s="353" t="s">
        <v>1744</v>
      </c>
      <c r="AG66" s="353" t="s">
        <v>1745</v>
      </c>
      <c r="AI66" s="353" t="s">
        <v>1656</v>
      </c>
      <c r="AJ66" s="353" t="s">
        <v>1676</v>
      </c>
      <c r="AK66" s="353"/>
      <c r="AL66" s="353"/>
      <c r="AM66" s="353"/>
      <c r="AN66" s="353"/>
    </row>
    <row r="67" spans="2:40" ht="16.5" customHeight="1" thickBot="1">
      <c r="B67" s="82" t="s">
        <v>102</v>
      </c>
      <c r="C67" s="1" t="s">
        <v>2496</v>
      </c>
      <c r="F67" s="1382">
        <f ca="1">VLOOKUP($B67,Geometrie!$A:$R,18,FALSE)</f>
        <v>0</v>
      </c>
      <c r="G67" s="1383">
        <f>VLOOKUP($B67,Geometrie!$A:$R,14,FALSE)</f>
        <v>0</v>
      </c>
      <c r="H67" s="94">
        <f>H66</f>
        <v>0.8</v>
      </c>
      <c r="I67" s="355">
        <f ca="1">F67*G67*H67</f>
        <v>0</v>
      </c>
      <c r="K67" s="87"/>
      <c r="L67" s="87"/>
      <c r="AA67" s="576" t="s">
        <v>39</v>
      </c>
      <c r="AB67" s="353">
        <v>0.3</v>
      </c>
      <c r="AC67" s="353">
        <v>0.45</v>
      </c>
      <c r="AD67" s="353">
        <v>0.25</v>
      </c>
      <c r="AE67" s="353">
        <v>0.4</v>
      </c>
      <c r="AF67" s="353">
        <v>0.2</v>
      </c>
      <c r="AG67" s="353">
        <v>0.35</v>
      </c>
      <c r="AH67" s="353"/>
      <c r="AI67" s="353">
        <v>0.17</v>
      </c>
      <c r="AJ67" s="353">
        <v>0</v>
      </c>
      <c r="AK67" s="353"/>
      <c r="AL67" s="353"/>
      <c r="AM67" s="353"/>
    </row>
    <row r="68" spans="2:40" ht="16.5" customHeight="1" thickBot="1">
      <c r="B68" s="82" t="s">
        <v>103</v>
      </c>
      <c r="C68" s="1" t="s">
        <v>2496</v>
      </c>
      <c r="F68" s="1382">
        <f ca="1">VLOOKUP($B68,Geometrie!$A:$R,18,FALSE)</f>
        <v>0</v>
      </c>
      <c r="G68" s="1383">
        <f>VLOOKUP($B68,Geometrie!$A:$R,14,FALSE)</f>
        <v>0</v>
      </c>
      <c r="H68" s="94">
        <f>H67</f>
        <v>0.8</v>
      </c>
      <c r="I68" s="355">
        <f ca="1">F68*G68*H68</f>
        <v>0</v>
      </c>
      <c r="K68" s="87"/>
      <c r="L68" s="87"/>
      <c r="AA68" s="577" t="s">
        <v>40</v>
      </c>
      <c r="AB68" s="353">
        <v>0.4</v>
      </c>
      <c r="AC68" s="353">
        <v>0.6</v>
      </c>
      <c r="AD68" s="353">
        <v>0.4</v>
      </c>
      <c r="AE68" s="353">
        <v>0.6</v>
      </c>
      <c r="AF68" s="353">
        <v>0.4</v>
      </c>
      <c r="AG68" s="353">
        <v>0.6</v>
      </c>
      <c r="AH68" s="353"/>
      <c r="AI68" s="353">
        <v>0.13</v>
      </c>
      <c r="AJ68" s="353">
        <v>0</v>
      </c>
      <c r="AK68" s="353"/>
      <c r="AL68" s="353"/>
      <c r="AM68" s="353"/>
    </row>
    <row r="69" spans="2:40" ht="6.75" customHeight="1">
      <c r="B69" s="82"/>
      <c r="F69" s="619"/>
      <c r="G69" s="747"/>
      <c r="H69" s="94"/>
      <c r="I69" s="355"/>
      <c r="K69" s="87"/>
      <c r="L69" s="87"/>
      <c r="AA69" s="577" t="s">
        <v>2646</v>
      </c>
      <c r="AB69" s="353">
        <v>0.45</v>
      </c>
      <c r="AC69" s="353">
        <v>0.6</v>
      </c>
      <c r="AD69" s="353">
        <v>0.4</v>
      </c>
      <c r="AE69" s="353">
        <v>0.5</v>
      </c>
      <c r="AF69" s="353">
        <v>0.25</v>
      </c>
      <c r="AG69" s="353">
        <v>0.35</v>
      </c>
      <c r="AH69" s="353"/>
      <c r="AI69" s="353">
        <v>0.17</v>
      </c>
      <c r="AJ69" s="353">
        <v>0</v>
      </c>
      <c r="AK69" s="353"/>
      <c r="AL69" s="353"/>
      <c r="AM69" s="353"/>
    </row>
    <row r="70" spans="2:40" ht="16.5" customHeight="1">
      <c r="B70" s="93" t="s">
        <v>359</v>
      </c>
      <c r="F70" s="96"/>
      <c r="G70" s="748"/>
      <c r="I70" s="356"/>
      <c r="K70" s="88">
        <f ca="1">SUM(I71:I75)</f>
        <v>0</v>
      </c>
      <c r="L70" s="87" t="s">
        <v>358</v>
      </c>
      <c r="AA70" s="577" t="s">
        <v>2647</v>
      </c>
      <c r="AB70" s="353">
        <v>0.3</v>
      </c>
      <c r="AC70" s="353">
        <v>0.3</v>
      </c>
      <c r="AD70" s="353">
        <v>0.25</v>
      </c>
      <c r="AE70" s="353">
        <v>0.25</v>
      </c>
      <c r="AF70" s="353">
        <v>0.2</v>
      </c>
      <c r="AG70" s="353">
        <v>0.2</v>
      </c>
      <c r="AH70" s="353"/>
      <c r="AI70" s="353">
        <v>0.17</v>
      </c>
      <c r="AJ70" s="353">
        <v>0</v>
      </c>
      <c r="AK70" s="353"/>
      <c r="AL70" s="353"/>
      <c r="AM70" s="353"/>
    </row>
    <row r="71" spans="2:40" ht="16.5" customHeight="1" thickBot="1">
      <c r="B71" s="82" t="s">
        <v>104</v>
      </c>
      <c r="C71" s="1" t="s">
        <v>2497</v>
      </c>
      <c r="F71" s="1382">
        <f ca="1">VLOOKUP($B71,Geometrie!$A:$R,18,FALSE)</f>
        <v>0</v>
      </c>
      <c r="G71" s="1383">
        <f>VLOOKUP($B71,Geometrie!$A:$R,14,FALSE)</f>
        <v>0</v>
      </c>
      <c r="H71" s="94">
        <v>0.5</v>
      </c>
      <c r="I71" s="355">
        <f ca="1">F71*G71*H71</f>
        <v>0</v>
      </c>
      <c r="K71" s="87"/>
      <c r="L71" s="87"/>
      <c r="AA71" s="577" t="s">
        <v>2648</v>
      </c>
      <c r="AB71" s="353">
        <v>0.25</v>
      </c>
      <c r="AC71" s="353">
        <v>0.25</v>
      </c>
      <c r="AD71" s="353">
        <v>0.2</v>
      </c>
      <c r="AE71" s="353">
        <v>0.2</v>
      </c>
      <c r="AF71" s="353">
        <v>0.15</v>
      </c>
      <c r="AG71" s="353">
        <v>0.15</v>
      </c>
      <c r="AH71" s="353"/>
      <c r="AI71" s="353">
        <v>0.17</v>
      </c>
      <c r="AJ71" s="353">
        <v>0</v>
      </c>
      <c r="AK71" s="353"/>
      <c r="AL71" s="353"/>
      <c r="AM71" s="353"/>
    </row>
    <row r="72" spans="2:40" ht="16.5" customHeight="1" thickBot="1">
      <c r="B72" s="82" t="s">
        <v>105</v>
      </c>
      <c r="C72" s="1" t="s">
        <v>2497</v>
      </c>
      <c r="F72" s="1382">
        <f ca="1">VLOOKUP($B72,Geometrie!$A:$R,18,FALSE)</f>
        <v>0</v>
      </c>
      <c r="G72" s="1383">
        <f>VLOOKUP($B72,Geometrie!$A:$R,14,FALSE)</f>
        <v>0</v>
      </c>
      <c r="H72" s="94">
        <f>H71</f>
        <v>0.5</v>
      </c>
      <c r="I72" s="355">
        <f ca="1">F72*G72*H72</f>
        <v>0</v>
      </c>
      <c r="K72" s="87"/>
      <c r="L72" s="87"/>
      <c r="AA72" s="577" t="s">
        <v>2650</v>
      </c>
      <c r="AB72" s="353">
        <v>0.55000000000000004</v>
      </c>
      <c r="AC72" s="353">
        <v>0.55000000000000004</v>
      </c>
      <c r="AD72" s="353">
        <v>0.5</v>
      </c>
      <c r="AE72" s="353">
        <v>0.5</v>
      </c>
      <c r="AF72" s="353">
        <v>0.45</v>
      </c>
      <c r="AG72" s="353">
        <v>0.45</v>
      </c>
      <c r="AH72" s="353"/>
      <c r="AI72" s="353">
        <v>0.17</v>
      </c>
      <c r="AJ72" s="353">
        <f>AI72</f>
        <v>0.17</v>
      </c>
      <c r="AK72" s="353"/>
      <c r="AL72" s="353"/>
      <c r="AM72" s="353"/>
    </row>
    <row r="73" spans="2:40" ht="16.5" customHeight="1" thickBot="1">
      <c r="B73" s="82" t="s">
        <v>106</v>
      </c>
      <c r="C73" s="1" t="s">
        <v>2497</v>
      </c>
      <c r="F73" s="1382">
        <f ca="1">VLOOKUP($B73,Geometrie!$A:$R,18,FALSE)</f>
        <v>0</v>
      </c>
      <c r="G73" s="1383">
        <f>VLOOKUP($B73,Geometrie!$A:$R,14,FALSE)</f>
        <v>0</v>
      </c>
      <c r="H73" s="94">
        <f>H72</f>
        <v>0.5</v>
      </c>
      <c r="I73" s="355">
        <f ca="1">F73*G73*H73</f>
        <v>0</v>
      </c>
      <c r="K73" s="87"/>
      <c r="L73" s="87"/>
      <c r="AA73" s="577" t="s">
        <v>2649</v>
      </c>
      <c r="AB73" s="353">
        <v>0.7</v>
      </c>
      <c r="AC73" s="353">
        <v>0.7</v>
      </c>
      <c r="AD73" s="353">
        <v>0.65</v>
      </c>
      <c r="AE73" s="353">
        <v>0.65</v>
      </c>
      <c r="AF73" s="353">
        <v>0.55000000000000004</v>
      </c>
      <c r="AG73" s="353">
        <v>0.55000000000000004</v>
      </c>
      <c r="AH73" s="353"/>
      <c r="AI73" s="353">
        <v>0.17</v>
      </c>
      <c r="AJ73" s="353">
        <f>AI73</f>
        <v>0.17</v>
      </c>
      <c r="AK73" s="353"/>
      <c r="AL73" s="353"/>
      <c r="AM73" s="353"/>
    </row>
    <row r="74" spans="2:40" ht="16.5" customHeight="1" thickBot="1">
      <c r="B74" s="82" t="s">
        <v>107</v>
      </c>
      <c r="C74" s="1" t="s">
        <v>2497</v>
      </c>
      <c r="F74" s="1382">
        <f ca="1">VLOOKUP($B74,Geometrie!$A:$R,18,FALSE)</f>
        <v>0</v>
      </c>
      <c r="G74" s="1383">
        <f>VLOOKUP($B74,Geometrie!$A:$R,14,FALSE)</f>
        <v>0</v>
      </c>
      <c r="H74" s="94">
        <f>H73</f>
        <v>0.5</v>
      </c>
      <c r="I74" s="355">
        <f ca="1">F74*G74*H74</f>
        <v>0</v>
      </c>
      <c r="K74" s="87"/>
      <c r="L74" s="87"/>
      <c r="AA74" s="577" t="s">
        <v>2651</v>
      </c>
      <c r="AB74" s="353">
        <v>0.55000000000000004</v>
      </c>
      <c r="AC74" s="353">
        <v>0.55000000000000004</v>
      </c>
      <c r="AD74" s="353">
        <v>0.5</v>
      </c>
      <c r="AE74" s="353">
        <v>0.5</v>
      </c>
      <c r="AF74" s="353">
        <v>0.45</v>
      </c>
      <c r="AG74" s="353">
        <v>0.45</v>
      </c>
      <c r="AH74" s="353"/>
      <c r="AI74" s="353">
        <v>0.13</v>
      </c>
      <c r="AJ74" s="353">
        <f>AI74</f>
        <v>0.13</v>
      </c>
      <c r="AK74" s="353"/>
      <c r="AL74" s="353"/>
      <c r="AM74" s="353"/>
    </row>
    <row r="75" spans="2:40" ht="16.5" customHeight="1">
      <c r="B75" s="117" t="s">
        <v>108</v>
      </c>
      <c r="C75" s="86" t="s">
        <v>2497</v>
      </c>
      <c r="D75" s="86"/>
      <c r="E75" s="86"/>
      <c r="F75" s="1384">
        <f ca="1">VLOOKUP($B75,Geometrie!$A:$R,18,FALSE)</f>
        <v>0</v>
      </c>
      <c r="G75" s="1385">
        <f>VLOOKUP($B75,Geometrie!$A:$R,14,FALSE)</f>
        <v>0</v>
      </c>
      <c r="H75" s="624">
        <f>H74</f>
        <v>0.5</v>
      </c>
      <c r="I75" s="626">
        <f ca="1">F75*G75*H75</f>
        <v>0</v>
      </c>
      <c r="K75" s="87"/>
      <c r="L75" s="87"/>
      <c r="AA75" s="577" t="s">
        <v>2652</v>
      </c>
      <c r="AB75" s="353">
        <v>0.7</v>
      </c>
      <c r="AC75" s="353">
        <v>0.7</v>
      </c>
      <c r="AD75" s="353">
        <v>0.65</v>
      </c>
      <c r="AE75" s="353">
        <v>0.65</v>
      </c>
      <c r="AF75" s="353">
        <v>0.55000000000000004</v>
      </c>
      <c r="AG75" s="353">
        <v>0.55000000000000004</v>
      </c>
      <c r="AH75" s="353"/>
      <c r="AI75" s="353">
        <v>0.13</v>
      </c>
      <c r="AJ75" s="353">
        <f>AI75</f>
        <v>0.13</v>
      </c>
      <c r="AK75" s="353"/>
      <c r="AL75" s="353"/>
      <c r="AM75" s="353"/>
    </row>
    <row r="76" spans="2:40" ht="26.4">
      <c r="B76" s="621" t="s">
        <v>9</v>
      </c>
      <c r="C76" s="622" t="s">
        <v>38</v>
      </c>
      <c r="D76" s="622" t="s">
        <v>75</v>
      </c>
      <c r="E76" s="622" t="s">
        <v>1795</v>
      </c>
      <c r="F76" s="635" t="s">
        <v>0</v>
      </c>
      <c r="G76" s="749" t="s">
        <v>1</v>
      </c>
      <c r="H76" s="622" t="s">
        <v>2</v>
      </c>
      <c r="I76" s="623" t="s">
        <v>3</v>
      </c>
      <c r="K76" s="87"/>
      <c r="L76" s="87"/>
      <c r="AA76" s="578" t="s">
        <v>43</v>
      </c>
      <c r="AB76" s="353">
        <v>0.9</v>
      </c>
      <c r="AC76" s="353">
        <v>0.9</v>
      </c>
      <c r="AD76" s="353">
        <v>0.9</v>
      </c>
      <c r="AE76" s="353">
        <v>0.9</v>
      </c>
      <c r="AF76" s="353">
        <v>0.9</v>
      </c>
      <c r="AG76" s="353">
        <v>0.9</v>
      </c>
      <c r="AH76" s="353"/>
      <c r="AI76" s="353">
        <v>0.17</v>
      </c>
      <c r="AJ76" s="353">
        <v>0.04</v>
      </c>
      <c r="AK76" s="353"/>
      <c r="AL76" s="353"/>
      <c r="AM76" s="353"/>
    </row>
    <row r="77" spans="2:40" ht="16.5" customHeight="1">
      <c r="B77" s="344"/>
      <c r="C77" s="309"/>
      <c r="D77" s="346" t="s">
        <v>76</v>
      </c>
      <c r="E77" s="309" t="s">
        <v>115</v>
      </c>
      <c r="F77" s="618" t="s">
        <v>8</v>
      </c>
      <c r="G77" s="750" t="s">
        <v>5</v>
      </c>
      <c r="H77" s="618" t="s">
        <v>6</v>
      </c>
      <c r="I77" s="709" t="s">
        <v>2458</v>
      </c>
      <c r="K77" s="87"/>
      <c r="L77" s="87"/>
      <c r="AA77" s="732" t="s">
        <v>42</v>
      </c>
      <c r="AB77" s="580">
        <v>0.2</v>
      </c>
      <c r="AC77" s="580">
        <v>0.55000000000000004</v>
      </c>
      <c r="AD77" s="580">
        <v>0.15</v>
      </c>
      <c r="AE77" s="580">
        <v>0.5</v>
      </c>
      <c r="AF77" s="580">
        <v>0.1</v>
      </c>
      <c r="AG77" s="580">
        <v>0.35</v>
      </c>
      <c r="AH77" s="353"/>
      <c r="AI77" s="353"/>
      <c r="AJ77" s="353"/>
      <c r="AK77" s="353"/>
      <c r="AL77" s="353"/>
      <c r="AM77" s="353"/>
    </row>
    <row r="78" spans="2:40" ht="16.5" customHeight="1">
      <c r="B78" s="97" t="s">
        <v>1786</v>
      </c>
      <c r="C78" s="72"/>
      <c r="E78" s="96"/>
      <c r="F78" s="96"/>
      <c r="G78" s="751"/>
      <c r="I78" s="356"/>
      <c r="K78" s="88">
        <f ca="1">SUM(I83:I95)</f>
        <v>27.655864006431546</v>
      </c>
      <c r="L78" s="87" t="s">
        <v>360</v>
      </c>
      <c r="AA78" s="579" t="s">
        <v>44</v>
      </c>
      <c r="AB78" s="580" t="s">
        <v>79</v>
      </c>
      <c r="AC78" s="580" t="s">
        <v>79</v>
      </c>
      <c r="AD78" s="580" t="s">
        <v>79</v>
      </c>
      <c r="AE78" s="580" t="s">
        <v>79</v>
      </c>
      <c r="AF78" s="580" t="s">
        <v>79</v>
      </c>
      <c r="AG78" s="580" t="s">
        <v>79</v>
      </c>
      <c r="AH78" s="580"/>
      <c r="AI78" s="580"/>
      <c r="AJ78" s="580"/>
      <c r="AK78" s="580"/>
      <c r="AL78" s="580"/>
      <c r="AM78" s="580"/>
    </row>
    <row r="79" spans="2:40" ht="16.5" customHeight="1">
      <c r="B79" s="93" t="s">
        <v>1787</v>
      </c>
      <c r="C79" s="72"/>
      <c r="E79" s="96"/>
      <c r="F79" s="96"/>
      <c r="G79" s="751"/>
      <c r="I79" s="356"/>
      <c r="K79" s="87"/>
      <c r="L79" s="87"/>
      <c r="M79" s="129"/>
    </row>
    <row r="80" spans="2:40" ht="16.5" customHeight="1" thickBot="1">
      <c r="B80" s="82" t="s">
        <v>69</v>
      </c>
      <c r="E80" s="1386">
        <f ca="1">VLOOKUP($B80,Geometrie!$A:$R,6,FALSE)</f>
        <v>81.418099999999995</v>
      </c>
      <c r="G80" s="752" t="s">
        <v>1740</v>
      </c>
      <c r="H80" s="98">
        <f ca="1">IF(E81&gt;0,E80/(0.5*E81),"")</f>
        <v>4.4784433443344334</v>
      </c>
      <c r="I80" s="356"/>
      <c r="K80" s="87"/>
      <c r="L80" s="87"/>
      <c r="M80" s="129"/>
      <c r="N80" s="129"/>
      <c r="O80" s="129"/>
      <c r="AC80" s="581" t="s">
        <v>1747</v>
      </c>
    </row>
    <row r="81" spans="2:40" ht="16.5" customHeight="1">
      <c r="B81" s="82" t="s">
        <v>1105</v>
      </c>
      <c r="E81" s="1387">
        <f ca="1">VLOOKUP($B81,Geometrie!$A:$R,6,FALSE)</f>
        <v>36.36</v>
      </c>
      <c r="F81" s="3"/>
      <c r="G81" s="751"/>
      <c r="I81" s="356"/>
      <c r="K81" s="87"/>
      <c r="L81" s="87"/>
      <c r="M81" s="129"/>
      <c r="N81" s="129"/>
      <c r="O81" s="129"/>
      <c r="AA81" s="581" t="s">
        <v>2653</v>
      </c>
      <c r="AB81" s="581" t="s">
        <v>1746</v>
      </c>
      <c r="AC81" s="581" t="s">
        <v>1748</v>
      </c>
      <c r="AD81" s="581" t="s">
        <v>1746</v>
      </c>
      <c r="AE81" s="581"/>
      <c r="AF81" s="581"/>
      <c r="AG81" s="581"/>
      <c r="AH81" s="581"/>
      <c r="AI81" s="581"/>
      <c r="AJ81" s="581"/>
      <c r="AK81" s="581"/>
      <c r="AL81" s="581"/>
      <c r="AM81" s="581"/>
      <c r="AN81" s="581"/>
    </row>
    <row r="82" spans="2:40" ht="6.75" customHeight="1" thickBot="1">
      <c r="B82" s="82"/>
      <c r="E82" s="96"/>
      <c r="F82" s="3"/>
      <c r="G82" s="751"/>
      <c r="I82" s="356"/>
      <c r="K82" s="87"/>
      <c r="L82" s="87"/>
      <c r="N82" s="129"/>
      <c r="O82" s="129"/>
      <c r="AA82" s="627"/>
      <c r="AB82" s="627"/>
      <c r="AC82" s="627"/>
      <c r="AD82" s="627"/>
      <c r="AE82" s="627"/>
      <c r="AF82" s="627"/>
      <c r="AG82" s="627"/>
      <c r="AH82" s="627"/>
      <c r="AI82" s="627"/>
      <c r="AJ82" s="627"/>
      <c r="AK82" s="627"/>
      <c r="AL82" s="627"/>
      <c r="AM82" s="627"/>
      <c r="AN82" s="627"/>
    </row>
    <row r="83" spans="2:40" ht="16.5" customHeight="1" thickBot="1">
      <c r="B83" s="82" t="s">
        <v>109</v>
      </c>
      <c r="C83" s="1396" t="str">
        <f>VLOOKUP($B83,Geometrie!$A:$R,2,FALSE)</f>
        <v>Fußboden beheizter Keller</v>
      </c>
      <c r="D83" s="1397"/>
      <c r="E83" s="1398"/>
      <c r="F83" s="1382">
        <f ca="1">VLOOKUP($B83,Geometrie!$A:$R,18,FALSE)</f>
        <v>81.418099999999995</v>
      </c>
      <c r="G83" s="1383">
        <f ca="1">VLOOKUP($B83,Geometrie!$A:$R,14,FALSE)</f>
        <v>0.28001460945788481</v>
      </c>
      <c r="H83" s="96">
        <f ca="1">IF(AND(C83&lt;&gt;"",C83&gt;0),VLOOKUP(C83,$AA$67:$AG$76,1+AC83+AD83,FALSE),0)</f>
        <v>0.45</v>
      </c>
      <c r="I83" s="355">
        <f ca="1">F83*G83*H83</f>
        <v>10.259215863436355</v>
      </c>
      <c r="K83" s="87"/>
      <c r="L83" s="87"/>
      <c r="M83" s="129"/>
      <c r="N83" s="129"/>
      <c r="AA83" s="582">
        <f>VLOOKUP(C83,$AA$67:$AJ$76,9,FALSE)+VLOOKUP(C83,$AA$67:$AJ$76,10,FALSE)</f>
        <v>0.17</v>
      </c>
      <c r="AB83" s="582">
        <f ca="1">IF(G83&gt;0,1/G83-AA83,0)</f>
        <v>3.401242236024844</v>
      </c>
      <c r="AC83" s="582">
        <f ca="1">IF($H$80&lt;5,1,IF($H$80&gt;10,5,3))</f>
        <v>1</v>
      </c>
      <c r="AD83" s="582">
        <f ca="1">IF(AB83&lt;=1,0,1)</f>
        <v>1</v>
      </c>
      <c r="AE83" s="582"/>
      <c r="AF83" s="582"/>
      <c r="AG83" s="582"/>
      <c r="AH83" s="582"/>
      <c r="AI83" s="582"/>
      <c r="AJ83" s="582"/>
      <c r="AK83" s="582"/>
      <c r="AL83" s="582"/>
      <c r="AM83" s="582"/>
      <c r="AN83" s="582"/>
    </row>
    <row r="84" spans="2:40" ht="16.5" customHeight="1" thickBot="1">
      <c r="B84" s="82" t="s">
        <v>110</v>
      </c>
      <c r="C84" s="1396" t="str">
        <f>VLOOKUP($B84,Geometrie!$A:$R,2,FALSE)</f>
        <v>Wand beheizter Keller</v>
      </c>
      <c r="D84" s="1397"/>
      <c r="E84" s="1398"/>
      <c r="F84" s="1382">
        <f ca="1">VLOOKUP($B84,Geometrie!$A:$R,18,FALSE)</f>
        <v>96.762799999999999</v>
      </c>
      <c r="G84" s="1383">
        <f ca="1">VLOOKUP($B84,Geometrie!$A:$R,14,FALSE)</f>
        <v>0.26088965564926453</v>
      </c>
      <c r="H84" s="96">
        <f ca="1">IF(AND(C84&lt;&gt;"",C84&gt;0),VLOOKUP(C84,$AA$67:$AG$76,1+AC84+AD84,FALSE),0)</f>
        <v>0.6</v>
      </c>
      <c r="I84" s="355">
        <f ca="1">F84*G84*H84</f>
        <v>15.146648142995192</v>
      </c>
      <c r="K84" s="87"/>
      <c r="L84" s="87"/>
      <c r="M84" s="129"/>
      <c r="N84" s="129"/>
      <c r="O84" s="129"/>
      <c r="AA84" s="582">
        <f>VLOOKUP(C84,$AA$67:$AJ$76,9,FALSE)+VLOOKUP(C84,$AA$67:$AJ$76,10,FALSE)</f>
        <v>0.13</v>
      </c>
      <c r="AB84" s="582">
        <f ca="1">IF(G84&gt;0,1/G84-AA84,0)</f>
        <v>3.7030381383322553</v>
      </c>
      <c r="AC84" s="582">
        <f ca="1">IF($H$80&lt;5,1,IF($H$80&gt;10,5,3))</f>
        <v>1</v>
      </c>
      <c r="AD84" s="582">
        <f ca="1">IF(AB84&lt;=1,0,1)</f>
        <v>1</v>
      </c>
      <c r="AE84" s="582"/>
      <c r="AF84" s="582"/>
      <c r="AG84" s="582"/>
      <c r="AH84" s="582"/>
      <c r="AI84" s="582"/>
      <c r="AJ84" s="582"/>
      <c r="AK84" s="582"/>
      <c r="AL84" s="582"/>
      <c r="AM84" s="582"/>
      <c r="AN84" s="582"/>
    </row>
    <row r="85" spans="2:40" ht="16.5" customHeight="1" thickBot="1">
      <c r="B85" s="82" t="s">
        <v>111</v>
      </c>
      <c r="C85" s="1396">
        <f>VLOOKUP($B85,Geometrie!$A:$R,2,FALSE)</f>
        <v>0</v>
      </c>
      <c r="D85" s="1397"/>
      <c r="E85" s="1398"/>
      <c r="F85" s="1382">
        <f ca="1">VLOOKUP($B85,Geometrie!$A:$R,18,FALSE)</f>
        <v>0</v>
      </c>
      <c r="G85" s="1383">
        <f>VLOOKUP($B85,Geometrie!$A:$R,14,FALSE)</f>
        <v>0</v>
      </c>
      <c r="H85" s="96">
        <f>IF(AND(C85&lt;&gt;"",C85&gt;0),VLOOKUP(C85,$AA$67:$AG$76,1+AC85+AD85,FALSE),0)</f>
        <v>0</v>
      </c>
      <c r="I85" s="355">
        <f ca="1">F85*G85*H85</f>
        <v>0</v>
      </c>
      <c r="K85" s="87"/>
      <c r="L85" s="87"/>
      <c r="M85" s="129"/>
      <c r="N85" s="129"/>
      <c r="O85" s="129"/>
      <c r="AA85" s="582" t="e">
        <f>VLOOKUP(C85,$AA$67:$AJ$76,9,FALSE)+VLOOKUP(C85,$AA$67:$AJ$76,10,FALSE)</f>
        <v>#N/A</v>
      </c>
      <c r="AB85" s="582">
        <f>IF(G85&gt;0,1/G85-AA85,0)</f>
        <v>0</v>
      </c>
      <c r="AC85" s="582">
        <f ca="1">IF($H$80&lt;5,1,IF($H$80&gt;10,5,3))</f>
        <v>1</v>
      </c>
      <c r="AD85" s="582">
        <f>IF(AB85&lt;=1,0,1)</f>
        <v>0</v>
      </c>
      <c r="AE85" s="582"/>
      <c r="AF85" s="582"/>
      <c r="AG85" s="582"/>
      <c r="AH85" s="582"/>
      <c r="AI85" s="582"/>
      <c r="AJ85" s="582"/>
      <c r="AK85" s="582"/>
      <c r="AL85" s="582"/>
      <c r="AM85" s="582"/>
      <c r="AN85" s="582"/>
    </row>
    <row r="86" spans="2:40" ht="16.5" customHeight="1" thickBot="1">
      <c r="B86" s="82" t="s">
        <v>112</v>
      </c>
      <c r="C86" s="1396">
        <f>VLOOKUP($B86,Geometrie!$A:$R,2,FALSE)</f>
        <v>0</v>
      </c>
      <c r="D86" s="1397"/>
      <c r="E86" s="1398"/>
      <c r="F86" s="1382">
        <f ca="1">VLOOKUP($B86,Geometrie!$A:$R,18,FALSE)</f>
        <v>0</v>
      </c>
      <c r="G86" s="1383">
        <f>VLOOKUP($B86,Geometrie!$A:$R,14,FALSE)</f>
        <v>0</v>
      </c>
      <c r="H86" s="96">
        <f>IF(AND(C86&lt;&gt;"",C86&gt;0),VLOOKUP(C86,$AA$67:$AG$76,1+AC86+AD86,FALSE),0)</f>
        <v>0</v>
      </c>
      <c r="I86" s="355">
        <f ca="1">F86*G86*H86</f>
        <v>0</v>
      </c>
      <c r="K86" s="87"/>
      <c r="L86" s="87"/>
      <c r="M86" s="129"/>
      <c r="N86" s="129"/>
      <c r="O86" s="129"/>
      <c r="AA86" s="582" t="e">
        <f>VLOOKUP(C86,$AA$67:$AJ$76,9,FALSE)+VLOOKUP(C86,$AA$67:$AJ$76,10,FALSE)</f>
        <v>#N/A</v>
      </c>
      <c r="AB86" s="582">
        <f>IF(G86&gt;0,1/G86-AA86,0)</f>
        <v>0</v>
      </c>
      <c r="AC86" s="582">
        <f ca="1">IF($H$80&lt;5,1,IF($H$80&gt;10,5,3))</f>
        <v>1</v>
      </c>
      <c r="AD86" s="582">
        <f>IF(AB86&lt;=1,0,1)</f>
        <v>0</v>
      </c>
      <c r="AE86" s="582"/>
      <c r="AF86" s="582"/>
      <c r="AG86" s="582"/>
      <c r="AH86" s="582"/>
      <c r="AI86" s="582"/>
      <c r="AJ86" s="582"/>
      <c r="AK86" s="582"/>
      <c r="AL86" s="582"/>
      <c r="AM86" s="582"/>
      <c r="AN86" s="582"/>
    </row>
    <row r="87" spans="2:40" ht="16.5" customHeight="1" thickBot="1">
      <c r="B87" s="82" t="s">
        <v>113</v>
      </c>
      <c r="C87" s="1396">
        <f>VLOOKUP($B87,Geometrie!$A:$R,2,FALSE)</f>
        <v>0</v>
      </c>
      <c r="D87" s="1397"/>
      <c r="E87" s="1398"/>
      <c r="F87" s="1382">
        <f ca="1">VLOOKUP($B87,Geometrie!$A:$R,18,FALSE)</f>
        <v>0</v>
      </c>
      <c r="G87" s="1383">
        <f>VLOOKUP($B87,Geometrie!$A:$R,14,FALSE)</f>
        <v>0</v>
      </c>
      <c r="H87" s="96">
        <f>IF(AND(C87&lt;&gt;"",C87&gt;0),VLOOKUP(C87,$AA$67:$AG$76,1+AC87+AD87,FALSE),0)</f>
        <v>0</v>
      </c>
      <c r="I87" s="355">
        <f ca="1">F87*G87*H87</f>
        <v>0</v>
      </c>
      <c r="K87" s="87"/>
      <c r="L87" s="87"/>
      <c r="M87" s="129"/>
      <c r="N87" s="129"/>
      <c r="O87" s="129"/>
      <c r="AA87" s="582" t="e">
        <f>VLOOKUP(C87,$AA$67:$AJ$76,9,FALSE)+VLOOKUP(C87,$AA$67:$AJ$76,10,FALSE)</f>
        <v>#N/A</v>
      </c>
      <c r="AB87" s="582">
        <f>IF(G87&gt;0,1/G87-AA87,0)</f>
        <v>0</v>
      </c>
      <c r="AC87" s="582">
        <f ca="1">IF($H$80&lt;5,1,IF($H$80&gt;10,5,3))</f>
        <v>1</v>
      </c>
      <c r="AD87" s="582">
        <f>IF(AB87&lt;=1,0,1)</f>
        <v>0</v>
      </c>
      <c r="AE87" s="582"/>
      <c r="AF87" s="582"/>
      <c r="AG87" s="582"/>
      <c r="AH87" s="582"/>
      <c r="AI87" s="582"/>
      <c r="AJ87" s="582"/>
      <c r="AK87" s="582"/>
      <c r="AL87" s="582"/>
      <c r="AM87" s="582"/>
      <c r="AN87" s="582"/>
    </row>
    <row r="88" spans="2:40" ht="6.75" customHeight="1">
      <c r="B88" s="82"/>
      <c r="F88" s="619"/>
      <c r="G88" s="747"/>
      <c r="H88" s="96"/>
      <c r="I88" s="355"/>
      <c r="K88" s="87"/>
      <c r="L88" s="87"/>
      <c r="N88" s="129"/>
      <c r="O88" s="129"/>
      <c r="AA88" s="7"/>
      <c r="AB88" s="7"/>
      <c r="AC88" s="7"/>
      <c r="AD88" s="7"/>
      <c r="AE88" s="7"/>
      <c r="AF88" s="7"/>
      <c r="AG88" s="7"/>
      <c r="AH88" s="7"/>
      <c r="AI88" s="7"/>
      <c r="AJ88" s="7"/>
      <c r="AK88" s="7"/>
      <c r="AL88" s="7"/>
      <c r="AM88" s="7"/>
      <c r="AN88" s="7"/>
    </row>
    <row r="89" spans="2:40" ht="16.5" customHeight="1">
      <c r="B89" s="93" t="s">
        <v>2304</v>
      </c>
      <c r="F89" s="96"/>
      <c r="G89" s="748"/>
      <c r="I89" s="356"/>
      <c r="K89" s="87"/>
      <c r="L89" s="87"/>
      <c r="N89" s="129"/>
      <c r="O89" s="129"/>
    </row>
    <row r="90" spans="2:40" ht="16.5" customHeight="1" thickBot="1">
      <c r="B90" s="82" t="s">
        <v>1791</v>
      </c>
      <c r="C90" s="1" t="s">
        <v>12</v>
      </c>
      <c r="D90" s="1393" t="str">
        <f>VLOOKUP($B90,Geometrie!$A:$R,4,FALSE)</f>
        <v>G 2</v>
      </c>
      <c r="F90" s="1382">
        <f ca="1">VLOOKUP($B90,Geometrie!$A:$R,18,FALSE)</f>
        <v>2.5</v>
      </c>
      <c r="G90" s="1383">
        <f>VLOOKUP($B90,Geometrie!$A:$R,14,FALSE)</f>
        <v>0.9</v>
      </c>
      <c r="H90" s="630">
        <v>1</v>
      </c>
      <c r="I90" s="355">
        <f ca="1">F90*G90*H90</f>
        <v>2.25</v>
      </c>
      <c r="K90" s="87"/>
      <c r="L90" s="87"/>
      <c r="N90" s="129"/>
      <c r="O90" s="129"/>
    </row>
    <row r="91" spans="2:40" ht="16.5" customHeight="1" thickBot="1">
      <c r="B91" s="82" t="s">
        <v>1792</v>
      </c>
      <c r="C91" s="1" t="s">
        <v>12</v>
      </c>
      <c r="D91" s="1393">
        <f>VLOOKUP($B91,Geometrie!$A:$R,4,FALSE)</f>
        <v>0</v>
      </c>
      <c r="F91" s="1382">
        <f ca="1">VLOOKUP($B91,Geometrie!$A:$R,18,FALSE)</f>
        <v>0</v>
      </c>
      <c r="G91" s="1383">
        <f>VLOOKUP($B91,Geometrie!$A:$R,14,FALSE)</f>
        <v>0</v>
      </c>
      <c r="H91" s="630">
        <f>H90</f>
        <v>1</v>
      </c>
      <c r="I91" s="355">
        <f ca="1">F91*G91*H91</f>
        <v>0</v>
      </c>
      <c r="K91" s="87"/>
      <c r="L91" s="87"/>
      <c r="M91" s="129"/>
      <c r="N91" s="129"/>
      <c r="O91" s="129"/>
    </row>
    <row r="92" spans="2:40" ht="6.75" customHeight="1">
      <c r="B92" s="82"/>
      <c r="D92" s="607"/>
      <c r="F92" s="619"/>
      <c r="G92" s="747"/>
      <c r="H92" s="630"/>
      <c r="I92" s="355"/>
      <c r="K92" s="87"/>
      <c r="L92" s="87"/>
      <c r="M92" s="129"/>
      <c r="N92" s="129"/>
      <c r="O92" s="129"/>
      <c r="AA92" s="1"/>
      <c r="AB92" s="1"/>
      <c r="AC92" s="1"/>
      <c r="AD92" s="1"/>
      <c r="AE92" s="1"/>
      <c r="AF92" s="1"/>
      <c r="AG92" s="1"/>
      <c r="AH92" s="1"/>
      <c r="AI92" s="1"/>
      <c r="AJ92" s="1"/>
      <c r="AK92" s="1"/>
      <c r="AL92" s="1"/>
      <c r="AM92" s="1"/>
      <c r="AN92" s="1"/>
    </row>
    <row r="93" spans="2:40" ht="16.5" customHeight="1">
      <c r="B93" s="93" t="s">
        <v>2499</v>
      </c>
      <c r="F93" s="96"/>
      <c r="G93" s="748"/>
      <c r="H93" s="631"/>
      <c r="I93" s="356"/>
      <c r="K93" s="87"/>
      <c r="L93" s="87"/>
      <c r="M93" s="129"/>
      <c r="N93" s="129"/>
      <c r="O93" s="129"/>
    </row>
    <row r="94" spans="2:40" ht="16.5" customHeight="1" thickBot="1">
      <c r="B94" s="82" t="s">
        <v>1793</v>
      </c>
      <c r="C94" s="1" t="s">
        <v>2498</v>
      </c>
      <c r="F94" s="1382">
        <f ca="1">VLOOKUP($B94,Geometrie!$A:$R,18,FALSE)</f>
        <v>0</v>
      </c>
      <c r="G94" s="1389">
        <f>VLOOKUP($B94,Geometrie!$A:$R,14,FALSE)</f>
        <v>0</v>
      </c>
      <c r="H94" s="630">
        <v>1</v>
      </c>
      <c r="I94" s="355">
        <f ca="1">F94*G94*H94</f>
        <v>0</v>
      </c>
      <c r="K94" s="87"/>
      <c r="L94" s="87"/>
      <c r="M94" s="129"/>
      <c r="N94" s="129"/>
      <c r="O94" s="129"/>
    </row>
    <row r="95" spans="2:40" ht="16.5" customHeight="1">
      <c r="B95" s="82" t="s">
        <v>1794</v>
      </c>
      <c r="C95" s="1" t="s">
        <v>2498</v>
      </c>
      <c r="F95" s="1388">
        <f ca="1">VLOOKUP($B95,Geometrie!$A:$R,18,FALSE)</f>
        <v>0</v>
      </c>
      <c r="G95" s="1390">
        <f>VLOOKUP($B95,Geometrie!$A:$R,14,FALSE)</f>
        <v>0</v>
      </c>
      <c r="H95" s="630">
        <f>H94</f>
        <v>1</v>
      </c>
      <c r="I95" s="355">
        <f ca="1">F95*G95*H95</f>
        <v>0</v>
      </c>
      <c r="K95" s="87"/>
      <c r="L95" s="87"/>
      <c r="M95" s="129"/>
      <c r="N95" s="129"/>
      <c r="O95" s="129"/>
      <c r="AA95" s="193"/>
    </row>
    <row r="96" spans="2:40" ht="6.75" customHeight="1">
      <c r="B96" s="82"/>
      <c r="F96" s="619"/>
      <c r="G96" s="617"/>
      <c r="H96" s="94"/>
      <c r="I96" s="355"/>
      <c r="K96" s="87"/>
      <c r="L96" s="87"/>
      <c r="M96" s="129"/>
      <c r="N96" s="129"/>
      <c r="O96" s="129"/>
      <c r="AA96" s="129"/>
      <c r="AB96" s="1"/>
      <c r="AC96" s="1"/>
      <c r="AD96" s="1"/>
      <c r="AE96" s="1"/>
      <c r="AF96" s="1"/>
      <c r="AG96" s="1"/>
      <c r="AH96" s="1"/>
      <c r="AI96" s="1"/>
      <c r="AJ96" s="1"/>
      <c r="AK96" s="1"/>
      <c r="AL96" s="1"/>
      <c r="AM96" s="1"/>
      <c r="AN96" s="1"/>
    </row>
    <row r="97" spans="2:28" ht="16.5" customHeight="1">
      <c r="B97" s="93" t="s">
        <v>67</v>
      </c>
      <c r="E97" s="99" t="s">
        <v>1739</v>
      </c>
      <c r="F97" s="98">
        <f ca="1">SUM(F18:F95)</f>
        <v>465.83460000000002</v>
      </c>
      <c r="I97" s="356"/>
      <c r="K97" s="87"/>
      <c r="L97" s="87"/>
      <c r="M97" s="129"/>
      <c r="N97" s="129"/>
      <c r="O97" s="129"/>
      <c r="P97" s="129"/>
      <c r="AA97" s="582"/>
      <c r="AB97" s="582"/>
    </row>
    <row r="98" spans="2:28" ht="16.5" customHeight="1">
      <c r="B98" s="628" t="s">
        <v>171</v>
      </c>
      <c r="H98" s="359" t="s">
        <v>1750</v>
      </c>
      <c r="I98" s="100">
        <f ca="1">SUM(I18:I95)</f>
        <v>111.78684452008821</v>
      </c>
      <c r="K98" s="87"/>
      <c r="L98" s="87"/>
      <c r="M98" s="129"/>
      <c r="N98" s="129"/>
      <c r="O98" s="129"/>
      <c r="P98" s="129"/>
      <c r="AA98" s="353">
        <v>133.6</v>
      </c>
      <c r="AB98" s="582">
        <f ca="1">(AA98-I98)/I98</f>
        <v>0.19513168632282074</v>
      </c>
    </row>
    <row r="99" spans="2:28" ht="6.75" customHeight="1">
      <c r="B99" s="354"/>
      <c r="C99" s="86"/>
      <c r="D99" s="86"/>
      <c r="E99" s="86"/>
      <c r="F99" s="86"/>
      <c r="G99" s="86"/>
      <c r="H99" s="358"/>
      <c r="I99" s="102"/>
      <c r="K99" s="87"/>
      <c r="L99" s="87"/>
      <c r="M99" s="129"/>
      <c r="N99" s="129"/>
      <c r="O99" s="129"/>
      <c r="P99" s="129"/>
    </row>
    <row r="100" spans="2:28" ht="16.5" customHeight="1">
      <c r="B100" s="93" t="s">
        <v>1804</v>
      </c>
      <c r="F100" s="3" t="s">
        <v>68</v>
      </c>
      <c r="G100" s="1200" t="s">
        <v>45</v>
      </c>
      <c r="H100" s="1202"/>
      <c r="I100" s="1203"/>
      <c r="K100" s="87">
        <f ca="1">I105*F97</f>
        <v>6.5216844000000007</v>
      </c>
      <c r="L100" s="87" t="s">
        <v>361</v>
      </c>
      <c r="N100" s="129"/>
      <c r="O100" s="129"/>
      <c r="P100" s="129"/>
    </row>
    <row r="101" spans="2:28" ht="16.5" customHeight="1">
      <c r="B101" s="82" t="s">
        <v>46</v>
      </c>
      <c r="G101" s="101"/>
      <c r="H101" s="3" t="s">
        <v>65</v>
      </c>
      <c r="I101" s="95" t="str">
        <f>IF($G$100=B101,0.1,"")</f>
        <v/>
      </c>
      <c r="K101" s="87"/>
      <c r="L101" s="87"/>
      <c r="M101" s="131"/>
      <c r="N101" s="129"/>
      <c r="O101" s="129"/>
      <c r="P101" s="129"/>
    </row>
    <row r="102" spans="2:28" ht="16.5" customHeight="1">
      <c r="B102" s="82" t="s">
        <v>2832</v>
      </c>
      <c r="H102" s="3" t="s">
        <v>66</v>
      </c>
      <c r="I102" s="95" t="str">
        <f>IF($G$100=B102,0.05,"")</f>
        <v/>
      </c>
      <c r="K102" s="87"/>
      <c r="L102" s="87"/>
      <c r="M102" s="131"/>
      <c r="N102" s="129"/>
      <c r="O102" s="129"/>
      <c r="P102" s="129"/>
    </row>
    <row r="103" spans="2:28" ht="16.5" customHeight="1">
      <c r="B103" s="82" t="s">
        <v>2833</v>
      </c>
      <c r="H103" s="3" t="s">
        <v>2834</v>
      </c>
      <c r="I103" s="95" t="str">
        <f>IF($G$100=B103,0.03,"")</f>
        <v/>
      </c>
      <c r="K103" s="87"/>
      <c r="L103" s="87"/>
      <c r="M103" s="131"/>
      <c r="N103" s="129"/>
      <c r="O103" s="129"/>
      <c r="P103" s="129"/>
    </row>
    <row r="104" spans="2:28" ht="16.5" customHeight="1">
      <c r="B104" s="82" t="s">
        <v>45</v>
      </c>
      <c r="H104" s="3" t="s">
        <v>156</v>
      </c>
      <c r="I104" s="535">
        <v>1.4E-2</v>
      </c>
      <c r="K104" s="87"/>
      <c r="L104" s="87"/>
    </row>
    <row r="105" spans="2:28" ht="16.5" customHeight="1">
      <c r="B105" s="82"/>
      <c r="H105" s="3" t="s">
        <v>1762</v>
      </c>
      <c r="I105" s="146">
        <f>VLOOKUP(G100,B101:I104,8,FALSE)</f>
        <v>1.4E-2</v>
      </c>
      <c r="K105" s="87"/>
      <c r="L105" s="87"/>
    </row>
    <row r="106" spans="2:28" ht="16.5" customHeight="1">
      <c r="B106" s="93" t="s">
        <v>3262</v>
      </c>
      <c r="I106" s="85"/>
      <c r="K106" s="87"/>
      <c r="L106" s="87"/>
    </row>
    <row r="107" spans="2:28" ht="16.5" customHeight="1">
      <c r="B107" s="93" t="s">
        <v>170</v>
      </c>
      <c r="H107" s="359" t="s">
        <v>1751</v>
      </c>
      <c r="I107" s="100">
        <f ca="1">I98+F97*I105</f>
        <v>118.30852892008821</v>
      </c>
      <c r="K107" s="87"/>
      <c r="L107" s="87"/>
    </row>
    <row r="108" spans="2:28" ht="6.75" customHeight="1">
      <c r="B108" s="107"/>
      <c r="C108" s="86"/>
      <c r="D108" s="86"/>
      <c r="E108" s="86"/>
      <c r="F108" s="86"/>
      <c r="G108" s="86"/>
      <c r="H108" s="358"/>
      <c r="I108" s="102"/>
      <c r="K108" s="87"/>
      <c r="L108" s="87"/>
    </row>
    <row r="109" spans="2:28" ht="16.5" customHeight="1">
      <c r="B109" s="106" t="s">
        <v>167</v>
      </c>
      <c r="C109" s="90"/>
      <c r="D109" s="90"/>
      <c r="E109" s="90"/>
      <c r="F109" s="90"/>
      <c r="G109" s="90"/>
      <c r="H109" s="90"/>
      <c r="I109" s="91"/>
      <c r="K109" s="87">
        <f>ROW(B110)</f>
        <v>110</v>
      </c>
      <c r="L109" s="87">
        <f>ROW(B111)</f>
        <v>111</v>
      </c>
      <c r="M109" s="8" t="s">
        <v>801</v>
      </c>
    </row>
    <row r="110" spans="2:28" ht="16.5" customHeight="1">
      <c r="B110" s="93" t="s">
        <v>172</v>
      </c>
      <c r="H110" s="3" t="s">
        <v>1749</v>
      </c>
      <c r="I110" s="114">
        <f ca="1">SUM(M110:X110)</f>
        <v>9798.7855992773857</v>
      </c>
      <c r="K110" s="87"/>
      <c r="L110" s="87"/>
      <c r="M110" s="9">
        <f t="shared" ref="M110:X110" ca="1" si="7">IF($I$107&gt;0,0.024*$I$107*(19-M$338)*M$339,0)</f>
        <v>1584.3878192978214</v>
      </c>
      <c r="N110" s="9">
        <f t="shared" ca="1" si="7"/>
        <v>1359.5069675265179</v>
      </c>
      <c r="O110" s="9">
        <f t="shared" ca="1" si="7"/>
        <v>1258.7081008866026</v>
      </c>
      <c r="P110" s="9">
        <f t="shared" ca="1" si="7"/>
        <v>834.78498006014252</v>
      </c>
      <c r="Q110" s="9">
        <f t="shared" ca="1" si="7"/>
        <v>431.30557303107366</v>
      </c>
      <c r="R110" s="9">
        <f t="shared" ca="1" si="7"/>
        <v>195.91892389166614</v>
      </c>
      <c r="S110" s="9">
        <f t="shared" ca="1" si="7"/>
        <v>0</v>
      </c>
      <c r="T110" s="9">
        <f t="shared" ca="1" si="7"/>
        <v>35.208618206618127</v>
      </c>
      <c r="U110" s="9">
        <f t="shared" ca="1" si="7"/>
        <v>400.35606186557845</v>
      </c>
      <c r="V110" s="9">
        <f t="shared" ca="1" si="7"/>
        <v>836.20468240718355</v>
      </c>
      <c r="W110" s="9">
        <f t="shared" ca="1" si="7"/>
        <v>1269.2138982547065</v>
      </c>
      <c r="X110" s="9">
        <f t="shared" ca="1" si="7"/>
        <v>1593.189973849476</v>
      </c>
    </row>
    <row r="111" spans="2:28" ht="6.75" customHeight="1">
      <c r="B111" s="107"/>
      <c r="C111" s="86"/>
      <c r="D111" s="86"/>
      <c r="E111" s="86"/>
      <c r="F111" s="86"/>
      <c r="G111" s="86"/>
      <c r="H111" s="108"/>
      <c r="I111" s="109"/>
      <c r="K111" s="87"/>
      <c r="L111" s="87"/>
      <c r="M111" s="9"/>
      <c r="N111" s="9"/>
      <c r="O111" s="9"/>
      <c r="P111" s="9"/>
      <c r="Q111" s="9"/>
      <c r="R111" s="9"/>
      <c r="S111" s="9"/>
      <c r="T111" s="9"/>
      <c r="U111" s="9"/>
      <c r="V111" s="9"/>
      <c r="W111" s="9"/>
      <c r="X111" s="9"/>
    </row>
    <row r="112" spans="2:28" ht="16.5" customHeight="1">
      <c r="B112" s="106" t="s">
        <v>168</v>
      </c>
      <c r="C112" s="90"/>
      <c r="D112" s="90"/>
      <c r="E112" s="90"/>
      <c r="F112" s="90"/>
      <c r="G112" s="90"/>
      <c r="H112" s="90"/>
      <c r="I112" s="91"/>
      <c r="K112" s="87">
        <f>ROW(B113)</f>
        <v>113</v>
      </c>
      <c r="L112" s="87">
        <f>ROW(B123)</f>
        <v>123</v>
      </c>
    </row>
    <row r="113" spans="2:24" ht="16.5" customHeight="1">
      <c r="B113" s="82" t="s">
        <v>1874</v>
      </c>
      <c r="F113" s="3" t="s">
        <v>68</v>
      </c>
      <c r="G113" s="1200" t="s">
        <v>71</v>
      </c>
      <c r="H113" s="1202"/>
      <c r="I113" s="1203"/>
      <c r="J113" s="5"/>
      <c r="K113" s="87"/>
      <c r="L113" s="87"/>
      <c r="M113" s="130"/>
    </row>
    <row r="114" spans="2:24" ht="16.5" customHeight="1">
      <c r="B114" s="82"/>
      <c r="C114" s="1" t="s">
        <v>71</v>
      </c>
      <c r="H114" s="3" t="s">
        <v>59</v>
      </c>
      <c r="I114" s="95">
        <f ca="1">IF($G$113=C114,$F$7*0.76,"")</f>
        <v>507.65190660000002</v>
      </c>
      <c r="K114" s="87"/>
      <c r="L114" s="87"/>
      <c r="M114" s="131"/>
    </row>
    <row r="115" spans="2:24" ht="16.5" customHeight="1">
      <c r="B115" s="82"/>
      <c r="C115" s="1" t="s">
        <v>72</v>
      </c>
      <c r="H115" s="3" t="s">
        <v>60</v>
      </c>
      <c r="I115" s="95" t="str">
        <f>IF($G$113=C115,$F$7*0.8,"")</f>
        <v/>
      </c>
      <c r="K115" s="87"/>
      <c r="L115" s="87"/>
      <c r="M115" s="131"/>
    </row>
    <row r="116" spans="2:24" ht="16.5" customHeight="1">
      <c r="B116" s="82" t="s">
        <v>1875</v>
      </c>
      <c r="F116" s="3" t="s">
        <v>68</v>
      </c>
      <c r="G116" s="1200" t="s">
        <v>61</v>
      </c>
      <c r="H116" s="1202"/>
      <c r="I116" s="1203"/>
      <c r="K116" s="87"/>
      <c r="L116" s="87"/>
      <c r="M116" s="131"/>
      <c r="N116"/>
    </row>
    <row r="117" spans="2:24" ht="16.5" customHeight="1">
      <c r="B117" s="82"/>
      <c r="C117" s="1" t="s">
        <v>47</v>
      </c>
      <c r="H117" s="3" t="s">
        <v>73</v>
      </c>
      <c r="I117" s="95" t="str">
        <f>IF($G$116=C117,0.7,"")</f>
        <v/>
      </c>
      <c r="K117" s="87"/>
      <c r="L117" s="87"/>
      <c r="M117" s="131"/>
      <c r="N117"/>
    </row>
    <row r="118" spans="2:24" ht="16.5" customHeight="1">
      <c r="B118" s="82"/>
      <c r="C118" s="1" t="s">
        <v>61</v>
      </c>
      <c r="H118" s="3" t="s">
        <v>74</v>
      </c>
      <c r="I118" s="95">
        <f>IF($G$116=C118,0.6,"")</f>
        <v>0.6</v>
      </c>
      <c r="K118" s="87"/>
      <c r="L118" s="87"/>
      <c r="M118" s="131"/>
      <c r="N118"/>
    </row>
    <row r="119" spans="2:24" ht="16.5" customHeight="1">
      <c r="B119" s="82"/>
      <c r="C119" s="1" t="s">
        <v>62</v>
      </c>
      <c r="H119" s="3" t="s">
        <v>74</v>
      </c>
      <c r="I119" s="95" t="str">
        <f>IF($G$116=C119,0.6,"")</f>
        <v/>
      </c>
      <c r="K119" s="87"/>
      <c r="L119" s="87"/>
      <c r="M119" s="131"/>
      <c r="N119"/>
    </row>
    <row r="120" spans="2:24" ht="16.5" customHeight="1">
      <c r="B120" s="82"/>
      <c r="C120" s="1" t="s">
        <v>63</v>
      </c>
      <c r="H120" s="3" t="s">
        <v>1877</v>
      </c>
      <c r="I120" s="95" t="str">
        <f>IF($G$116=C120,0.55,"")</f>
        <v/>
      </c>
      <c r="K120" s="87"/>
      <c r="L120" s="87"/>
      <c r="M120" s="131"/>
    </row>
    <row r="121" spans="2:24" ht="16.5" customHeight="1">
      <c r="B121" s="82"/>
      <c r="C121" s="1" t="s">
        <v>64</v>
      </c>
      <c r="H121" s="3" t="s">
        <v>1878</v>
      </c>
      <c r="I121" s="95" t="str">
        <f>IF($G$116=C121,0.5,"")</f>
        <v/>
      </c>
      <c r="K121" s="87"/>
      <c r="L121" s="87"/>
      <c r="M121" s="131"/>
    </row>
    <row r="122" spans="2:24" ht="16.5" customHeight="1">
      <c r="B122" s="93" t="s">
        <v>169</v>
      </c>
      <c r="H122" s="359" t="s">
        <v>1752</v>
      </c>
      <c r="I122" s="114">
        <f ca="1">0.34*VLOOKUP(G113,C114:I115,7,FALSE)*VLOOKUP(G116,C117:I121,7,FALSE)</f>
        <v>103.5609889464</v>
      </c>
      <c r="K122" s="87"/>
      <c r="L122" s="87"/>
      <c r="M122" s="131"/>
    </row>
    <row r="123" spans="2:24" ht="6.75" customHeight="1">
      <c r="B123" s="93"/>
      <c r="H123" s="359"/>
      <c r="I123" s="114"/>
      <c r="K123" s="87"/>
      <c r="L123" s="87"/>
      <c r="M123" s="131"/>
    </row>
    <row r="124" spans="2:24" ht="16.5" customHeight="1">
      <c r="B124" s="106" t="s">
        <v>174</v>
      </c>
      <c r="C124" s="90"/>
      <c r="D124" s="90"/>
      <c r="E124" s="90"/>
      <c r="F124" s="90"/>
      <c r="G124" s="90"/>
      <c r="H124" s="90"/>
      <c r="I124" s="91"/>
      <c r="K124" s="87">
        <f>ROW(B125)</f>
        <v>125</v>
      </c>
      <c r="L124" s="87">
        <f>ROW(B126)</f>
        <v>126</v>
      </c>
      <c r="M124" s="8" t="s">
        <v>843</v>
      </c>
    </row>
    <row r="125" spans="2:24" ht="16.5" customHeight="1">
      <c r="B125" s="93" t="s">
        <v>48</v>
      </c>
      <c r="H125" s="3" t="s">
        <v>1753</v>
      </c>
      <c r="I125" s="114">
        <f ca="1">SUM(M125:X125)</f>
        <v>8577.3353484966337</v>
      </c>
      <c r="K125" s="87"/>
      <c r="L125" s="87"/>
      <c r="M125" s="9">
        <f t="shared" ref="M125:X125" ca="1" si="8">IF($I$122&gt;0,0.024*$I$122*(19-M$338)*M$339,0)</f>
        <v>1386.8887639701888</v>
      </c>
      <c r="N125" s="9">
        <f t="shared" ca="1" si="8"/>
        <v>1190.0400361808718</v>
      </c>
      <c r="O125" s="9">
        <f t="shared" ca="1" si="8"/>
        <v>1101.8060735985389</v>
      </c>
      <c r="P125" s="9">
        <f t="shared" ca="1" si="8"/>
        <v>730.72633800579843</v>
      </c>
      <c r="Q125" s="9">
        <f t="shared" ca="1" si="8"/>
        <v>377.54194130299589</v>
      </c>
      <c r="R125" s="9">
        <f t="shared" ca="1" si="8"/>
        <v>171.49699769523846</v>
      </c>
      <c r="S125" s="9">
        <f t="shared" ca="1" si="8"/>
        <v>0</v>
      </c>
      <c r="T125" s="9">
        <f t="shared" ca="1" si="8"/>
        <v>30.81975031044853</v>
      </c>
      <c r="U125" s="9">
        <f t="shared" ca="1" si="8"/>
        <v>350.45038659461756</v>
      </c>
      <c r="V125" s="9">
        <f t="shared" ca="1" si="8"/>
        <v>731.96906987315515</v>
      </c>
      <c r="W125" s="9">
        <f t="shared" ca="1" si="8"/>
        <v>1111.0022894169792</v>
      </c>
      <c r="X125" s="9">
        <f t="shared" ca="1" si="8"/>
        <v>1394.5937015478012</v>
      </c>
    </row>
    <row r="126" spans="2:24" ht="6.75" customHeight="1">
      <c r="B126" s="93"/>
      <c r="H126" s="3"/>
      <c r="I126" s="114"/>
      <c r="K126" s="87"/>
      <c r="L126" s="87"/>
      <c r="M126" s="9"/>
      <c r="N126" s="9"/>
      <c r="O126" s="9"/>
      <c r="P126" s="9"/>
      <c r="Q126" s="9"/>
      <c r="R126" s="9"/>
      <c r="S126" s="9"/>
      <c r="T126" s="9"/>
      <c r="U126" s="9"/>
      <c r="V126" s="9"/>
      <c r="W126" s="9"/>
      <c r="X126" s="9"/>
    </row>
    <row r="127" spans="2:24" ht="16.5" customHeight="1">
      <c r="B127" s="79" t="s">
        <v>56</v>
      </c>
      <c r="C127" s="80"/>
      <c r="D127" s="80"/>
      <c r="E127" s="80"/>
      <c r="F127" s="80"/>
      <c r="G127" s="80"/>
      <c r="H127" s="80"/>
      <c r="I127" s="81"/>
      <c r="K127" s="87"/>
      <c r="L127" s="87"/>
    </row>
    <row r="128" spans="2:24" ht="16.5" customHeight="1">
      <c r="B128" s="103" t="s">
        <v>149</v>
      </c>
      <c r="C128" s="104"/>
      <c r="D128" s="104"/>
      <c r="E128" s="104"/>
      <c r="F128" s="104"/>
      <c r="G128" s="104"/>
      <c r="H128" s="104"/>
      <c r="I128" s="105"/>
      <c r="K128" s="87">
        <f>ROW(B129)</f>
        <v>129</v>
      </c>
      <c r="L128" s="87">
        <f>ROW(B145)</f>
        <v>145</v>
      </c>
    </row>
    <row r="129" spans="2:24" ht="52.8">
      <c r="B129" s="344" t="s">
        <v>9</v>
      </c>
      <c r="C129" s="309" t="s">
        <v>77</v>
      </c>
      <c r="D129" s="309" t="s">
        <v>10</v>
      </c>
      <c r="E129" s="618" t="s">
        <v>0</v>
      </c>
      <c r="F129" s="309" t="s">
        <v>78</v>
      </c>
      <c r="G129" s="618" t="s">
        <v>50</v>
      </c>
      <c r="H129" s="618" t="s">
        <v>52</v>
      </c>
      <c r="I129" s="345" t="s">
        <v>54</v>
      </c>
      <c r="K129" s="87"/>
      <c r="L129" s="87"/>
    </row>
    <row r="130" spans="2:24" ht="16.5" customHeight="1">
      <c r="B130" s="344"/>
      <c r="C130" s="309"/>
      <c r="D130" s="309" t="s">
        <v>115</v>
      </c>
      <c r="E130" s="618" t="s">
        <v>8</v>
      </c>
      <c r="F130" s="618" t="s">
        <v>49</v>
      </c>
      <c r="G130" s="618" t="s">
        <v>51</v>
      </c>
      <c r="H130" s="618" t="s">
        <v>53</v>
      </c>
      <c r="I130" s="345" t="s">
        <v>55</v>
      </c>
      <c r="K130" s="87"/>
      <c r="L130" s="87"/>
      <c r="M130" s="6" t="s">
        <v>116</v>
      </c>
      <c r="N130" s="6" t="s">
        <v>117</v>
      </c>
      <c r="O130" s="6" t="s">
        <v>118</v>
      </c>
      <c r="P130" s="6" t="s">
        <v>119</v>
      </c>
      <c r="Q130" s="6" t="s">
        <v>120</v>
      </c>
      <c r="R130" s="6" t="s">
        <v>121</v>
      </c>
      <c r="S130" s="6" t="s">
        <v>122</v>
      </c>
      <c r="T130" s="6" t="s">
        <v>123</v>
      </c>
      <c r="U130" s="6" t="s">
        <v>124</v>
      </c>
      <c r="V130" s="6" t="s">
        <v>125</v>
      </c>
      <c r="W130" s="6" t="s">
        <v>126</v>
      </c>
      <c r="X130" s="6" t="s">
        <v>127</v>
      </c>
    </row>
    <row r="131" spans="2:24" ht="16.5" customHeight="1" thickBot="1">
      <c r="B131" s="82" t="str">
        <f t="shared" ref="B131:B136" si="9">B32</f>
        <v>W 1</v>
      </c>
      <c r="C131" s="1" t="str">
        <f t="shared" ref="C131:C136" si="10">IF(C32&lt;&gt;"",C32,"")</f>
        <v>Nord</v>
      </c>
      <c r="D131" s="1" t="str">
        <f t="shared" ref="D131:E136" si="11">IF(E32&lt;&gt;"",E32,"")</f>
        <v>90°</v>
      </c>
      <c r="E131" s="143">
        <f t="shared" ca="1" si="11"/>
        <v>5.5</v>
      </c>
      <c r="F131" s="1391">
        <f>VLOOKUP($B131,Geometrie!$A:$R,15,FALSE)</f>
        <v>0.53</v>
      </c>
      <c r="G131" s="1391">
        <f>VLOOKUP($B131,Geometrie!$A:$R,16,FALSE)</f>
        <v>0.9</v>
      </c>
      <c r="H131" s="1392">
        <f>VLOOKUP($B131,Geometrie!$A:$R,17,FALSE)</f>
        <v>0.7</v>
      </c>
      <c r="I131" s="110" t="s">
        <v>79</v>
      </c>
      <c r="K131" s="87"/>
      <c r="L131" s="87"/>
      <c r="M131" s="9">
        <f t="shared" ref="M131:X142" ca="1" si="12">IF(AND(gVe&gt;0,$C131&lt;&gt;"",$E131&lt;&gt;""),0.024*$E131*$F131*$G131*$H131*1*0.9*VLOOKUP($C131&amp;" - "&amp;$D131,$G$305:$X$337,MONTH((DATEVALUE("1. "&amp;M$4)))+6,FALSE)*M$339,"")</f>
        <v>12.296869200000001</v>
      </c>
      <c r="N131" s="9">
        <f t="shared" ca="1" si="12"/>
        <v>19.992329280000003</v>
      </c>
      <c r="O131" s="9">
        <f t="shared" ca="1" si="12"/>
        <v>38.120294520000009</v>
      </c>
      <c r="P131" s="9">
        <f t="shared" ca="1" si="12"/>
        <v>69.021136800000008</v>
      </c>
      <c r="Q131" s="9">
        <f t="shared" ca="1" si="12"/>
        <v>92.22651900000001</v>
      </c>
      <c r="R131" s="9">
        <f t="shared" ca="1" si="12"/>
        <v>98.771626800000007</v>
      </c>
      <c r="S131" s="9">
        <f t="shared" ca="1" si="12"/>
        <v>99.604640520000018</v>
      </c>
      <c r="T131" s="9">
        <f t="shared" ca="1" si="12"/>
        <v>70.092154440000002</v>
      </c>
      <c r="U131" s="9">
        <f t="shared" ca="1" si="12"/>
        <v>48.790803600000004</v>
      </c>
      <c r="V131" s="9">
        <f t="shared" ca="1" si="12"/>
        <v>30.742173000000001</v>
      </c>
      <c r="W131" s="9">
        <f t="shared" ca="1" si="12"/>
        <v>15.470254800000001</v>
      </c>
      <c r="X131" s="9">
        <f t="shared" ca="1" si="12"/>
        <v>8.6078084400000012</v>
      </c>
    </row>
    <row r="132" spans="2:24" ht="16.5" customHeight="1" thickBot="1">
      <c r="B132" s="82" t="str">
        <f t="shared" si="9"/>
        <v>W 2</v>
      </c>
      <c r="C132" s="1" t="str">
        <f t="shared" si="10"/>
        <v>West</v>
      </c>
      <c r="D132" s="1" t="str">
        <f t="shared" si="11"/>
        <v>90°</v>
      </c>
      <c r="E132" s="143">
        <f t="shared" ca="1" si="11"/>
        <v>8</v>
      </c>
      <c r="F132" s="1391">
        <f>VLOOKUP($B132,Geometrie!$A:$R,15,FALSE)</f>
        <v>0.53</v>
      </c>
      <c r="G132" s="1391">
        <f>VLOOKUP($B132,Geometrie!$A:$R,16,FALSE)</f>
        <v>0.9</v>
      </c>
      <c r="H132" s="1392">
        <f>VLOOKUP($B132,Geometrie!$A:$R,17,FALSE)</f>
        <v>0.7</v>
      </c>
      <c r="I132" s="110" t="s">
        <v>79</v>
      </c>
      <c r="K132" s="87"/>
      <c r="L132" s="87"/>
      <c r="M132" s="9">
        <f t="shared" ca="1" si="12"/>
        <v>30.406803839999995</v>
      </c>
      <c r="N132" s="9">
        <f t="shared" ca="1" si="12"/>
        <v>38.773002239999997</v>
      </c>
      <c r="O132" s="9">
        <f t="shared" ca="1" si="12"/>
        <v>107.3181312</v>
      </c>
      <c r="P132" s="9">
        <f t="shared" ca="1" si="12"/>
        <v>197.32688639999998</v>
      </c>
      <c r="Q132" s="9">
        <f t="shared" ca="1" si="12"/>
        <v>227.15671103999998</v>
      </c>
      <c r="R132" s="9">
        <f t="shared" ca="1" si="12"/>
        <v>235.40751359999996</v>
      </c>
      <c r="S132" s="9">
        <f t="shared" ca="1" si="12"/>
        <v>209.27035583999998</v>
      </c>
      <c r="T132" s="9">
        <f t="shared" ca="1" si="12"/>
        <v>187.80672959999998</v>
      </c>
      <c r="U132" s="9">
        <f t="shared" ca="1" si="12"/>
        <v>136.7440704</v>
      </c>
      <c r="V132" s="9">
        <f t="shared" ca="1" si="12"/>
        <v>84.065869439999986</v>
      </c>
      <c r="W132" s="9">
        <f t="shared" ca="1" si="12"/>
        <v>32.887814399999996</v>
      </c>
      <c r="X132" s="9">
        <f t="shared" ca="1" si="12"/>
        <v>19.674990719999997</v>
      </c>
    </row>
    <row r="133" spans="2:24" ht="16.5" customHeight="1" thickBot="1">
      <c r="B133" s="82" t="str">
        <f t="shared" si="9"/>
        <v>W 3</v>
      </c>
      <c r="C133" s="1" t="str">
        <f t="shared" si="10"/>
        <v>Süd</v>
      </c>
      <c r="D133" s="1" t="str">
        <f t="shared" si="11"/>
        <v>90°</v>
      </c>
      <c r="E133" s="143">
        <f t="shared" ca="1" si="11"/>
        <v>11.66</v>
      </c>
      <c r="F133" s="1391">
        <f>VLOOKUP($B133,Geometrie!$A:$R,15,FALSE)</f>
        <v>0.53</v>
      </c>
      <c r="G133" s="1391">
        <f>VLOOKUP($B133,Geometrie!$A:$R,16,FALSE)</f>
        <v>0.9</v>
      </c>
      <c r="H133" s="1392">
        <f>VLOOKUP($B133,Geometrie!$A:$R,17,FALSE)</f>
        <v>0.7</v>
      </c>
      <c r="I133" s="110" t="s">
        <v>79</v>
      </c>
      <c r="K133" s="87"/>
      <c r="L133" s="87"/>
      <c r="M133" s="9">
        <f t="shared" ca="1" si="12"/>
        <v>153.80923995360001</v>
      </c>
      <c r="N133" s="9">
        <f t="shared" ca="1" si="12"/>
        <v>110.66864941440002</v>
      </c>
      <c r="O133" s="9">
        <f t="shared" ca="1" si="12"/>
        <v>255.47975449920006</v>
      </c>
      <c r="P133" s="9">
        <f t="shared" ca="1" si="12"/>
        <v>370.85770814400007</v>
      </c>
      <c r="Q133" s="9">
        <f t="shared" ca="1" si="12"/>
        <v>344.11558769280003</v>
      </c>
      <c r="R133" s="9">
        <f t="shared" ca="1" si="12"/>
        <v>312.83235244800011</v>
      </c>
      <c r="S133" s="9">
        <f t="shared" ca="1" si="12"/>
        <v>294.58379855520008</v>
      </c>
      <c r="T133" s="9">
        <f t="shared" ca="1" si="12"/>
        <v>331.08090634080008</v>
      </c>
      <c r="U133" s="9">
        <f t="shared" ca="1" si="12"/>
        <v>310.30951089600006</v>
      </c>
      <c r="V133" s="9">
        <f t="shared" ca="1" si="12"/>
        <v>276.33524466240004</v>
      </c>
      <c r="W133" s="9">
        <f t="shared" ca="1" si="12"/>
        <v>98.39082052800002</v>
      </c>
      <c r="X133" s="9">
        <f t="shared" ca="1" si="12"/>
        <v>75.601151841600014</v>
      </c>
    </row>
    <row r="134" spans="2:24" ht="16.5" customHeight="1" thickBot="1">
      <c r="B134" s="82" t="str">
        <f t="shared" si="9"/>
        <v>W 4</v>
      </c>
      <c r="C134" s="1" t="str">
        <f t="shared" si="10"/>
        <v>Ost</v>
      </c>
      <c r="D134" s="1" t="str">
        <f t="shared" si="11"/>
        <v>90°</v>
      </c>
      <c r="E134" s="143">
        <f t="shared" ca="1" si="11"/>
        <v>7.79</v>
      </c>
      <c r="F134" s="1391">
        <f>VLOOKUP($B134,Geometrie!$A:$R,15,FALSE)</f>
        <v>0.53</v>
      </c>
      <c r="G134" s="1391">
        <f>VLOOKUP($B134,Geometrie!$A:$R,16,FALSE)</f>
        <v>0.9</v>
      </c>
      <c r="H134" s="1392">
        <f>VLOOKUP($B134,Geometrie!$A:$R,17,FALSE)</f>
        <v>0.7</v>
      </c>
      <c r="I134" s="110" t="s">
        <v>79</v>
      </c>
      <c r="K134" s="87"/>
      <c r="L134" s="87"/>
      <c r="M134" s="9">
        <f t="shared" ca="1" si="12"/>
        <v>43.54209594000001</v>
      </c>
      <c r="N134" s="9">
        <f t="shared" ca="1" si="12"/>
        <v>45.620879875200004</v>
      </c>
      <c r="O134" s="9">
        <f t="shared" ca="1" si="12"/>
        <v>118.43450095680002</v>
      </c>
      <c r="P134" s="9">
        <f t="shared" ca="1" si="12"/>
        <v>225.85706539200004</v>
      </c>
      <c r="Q134" s="9">
        <f t="shared" ca="1" si="12"/>
        <v>238.61068575120004</v>
      </c>
      <c r="R134" s="9">
        <f t="shared" ca="1" si="12"/>
        <v>252.82507320000005</v>
      </c>
      <c r="S134" s="9">
        <f t="shared" ca="1" si="12"/>
        <v>240.35236958880003</v>
      </c>
      <c r="T134" s="9">
        <f t="shared" ca="1" si="12"/>
        <v>200.29364132400002</v>
      </c>
      <c r="U134" s="9">
        <f t="shared" ca="1" si="12"/>
        <v>139.89654050400003</v>
      </c>
      <c r="V134" s="9">
        <f t="shared" ca="1" si="12"/>
        <v>95.792611068000014</v>
      </c>
      <c r="W134" s="9">
        <f t="shared" ca="1" si="12"/>
        <v>33.710009760000005</v>
      </c>
      <c r="X134" s="9">
        <f t="shared" ca="1" si="12"/>
        <v>20.900206051200001</v>
      </c>
    </row>
    <row r="135" spans="2:24" ht="16.5" customHeight="1" thickBot="1">
      <c r="B135" s="82" t="str">
        <f t="shared" si="9"/>
        <v>W 5</v>
      </c>
      <c r="C135" s="1" t="str">
        <f t="shared" si="10"/>
        <v/>
      </c>
      <c r="D135" s="1" t="str">
        <f t="shared" si="11"/>
        <v>90°</v>
      </c>
      <c r="E135" s="143">
        <f t="shared" ca="1" si="11"/>
        <v>0</v>
      </c>
      <c r="F135" s="1391">
        <f>VLOOKUP($B135,Geometrie!$A:$R,15,FALSE)</f>
        <v>0</v>
      </c>
      <c r="G135" s="1391">
        <f>VLOOKUP($B135,Geometrie!$A:$R,16,FALSE)</f>
        <v>0</v>
      </c>
      <c r="H135" s="1392">
        <f>VLOOKUP($B135,Geometrie!$A:$R,17,FALSE)</f>
        <v>0</v>
      </c>
      <c r="I135" s="110" t="s">
        <v>79</v>
      </c>
      <c r="J135" s="5"/>
      <c r="K135" s="87"/>
      <c r="L135" s="87"/>
      <c r="M135" s="9" t="str">
        <f t="shared" ca="1" si="12"/>
        <v/>
      </c>
      <c r="N135" s="9" t="str">
        <f t="shared" ca="1" si="12"/>
        <v/>
      </c>
      <c r="O135" s="9" t="str">
        <f t="shared" ca="1" si="12"/>
        <v/>
      </c>
      <c r="P135" s="9" t="str">
        <f t="shared" ca="1" si="12"/>
        <v/>
      </c>
      <c r="Q135" s="9" t="str">
        <f t="shared" ca="1" si="12"/>
        <v/>
      </c>
      <c r="R135" s="9" t="str">
        <f t="shared" ca="1" si="12"/>
        <v/>
      </c>
      <c r="S135" s="9" t="str">
        <f t="shared" ca="1" si="12"/>
        <v/>
      </c>
      <c r="T135" s="9" t="str">
        <f t="shared" ca="1" si="12"/>
        <v/>
      </c>
      <c r="U135" s="9" t="str">
        <f t="shared" ca="1" si="12"/>
        <v/>
      </c>
      <c r="V135" s="9" t="str">
        <f t="shared" ca="1" si="12"/>
        <v/>
      </c>
      <c r="W135" s="9" t="str">
        <f t="shared" ca="1" si="12"/>
        <v/>
      </c>
      <c r="X135" s="9" t="str">
        <f t="shared" ca="1" si="12"/>
        <v/>
      </c>
    </row>
    <row r="136" spans="2:24" ht="16.5" customHeight="1" thickBot="1">
      <c r="B136" s="82" t="str">
        <f t="shared" si="9"/>
        <v>W 6</v>
      </c>
      <c r="C136" s="1" t="str">
        <f t="shared" si="10"/>
        <v/>
      </c>
      <c r="D136" s="1" t="str">
        <f t="shared" si="11"/>
        <v>90°</v>
      </c>
      <c r="E136" s="143">
        <f t="shared" ca="1" si="11"/>
        <v>0</v>
      </c>
      <c r="F136" s="1391">
        <f>VLOOKUP($B136,Geometrie!$A:$R,15,FALSE)</f>
        <v>0</v>
      </c>
      <c r="G136" s="1391">
        <f>VLOOKUP($B136,Geometrie!$A:$R,16,FALSE)</f>
        <v>0</v>
      </c>
      <c r="H136" s="1392">
        <f>VLOOKUP($B136,Geometrie!$A:$R,17,FALSE)</f>
        <v>0</v>
      </c>
      <c r="I136" s="110" t="s">
        <v>79</v>
      </c>
      <c r="K136" s="87"/>
      <c r="L136" s="87"/>
      <c r="M136" s="9" t="str">
        <f t="shared" ca="1" si="12"/>
        <v/>
      </c>
      <c r="N136" s="9" t="str">
        <f t="shared" ca="1" si="12"/>
        <v/>
      </c>
      <c r="O136" s="9" t="str">
        <f t="shared" ca="1" si="12"/>
        <v/>
      </c>
      <c r="P136" s="9" t="str">
        <f t="shared" ca="1" si="12"/>
        <v/>
      </c>
      <c r="Q136" s="9" t="str">
        <f t="shared" ca="1" si="12"/>
        <v/>
      </c>
      <c r="R136" s="9" t="str">
        <f t="shared" ca="1" si="12"/>
        <v/>
      </c>
      <c r="S136" s="9" t="str">
        <f t="shared" ca="1" si="12"/>
        <v/>
      </c>
      <c r="T136" s="9" t="str">
        <f t="shared" ca="1" si="12"/>
        <v/>
      </c>
      <c r="U136" s="9" t="str">
        <f t="shared" ca="1" si="12"/>
        <v/>
      </c>
      <c r="V136" s="9" t="str">
        <f t="shared" ca="1" si="12"/>
        <v/>
      </c>
      <c r="W136" s="9" t="str">
        <f t="shared" ca="1" si="12"/>
        <v/>
      </c>
      <c r="X136" s="9" t="str">
        <f t="shared" ca="1" si="12"/>
        <v/>
      </c>
    </row>
    <row r="137" spans="2:24" ht="16.5" customHeight="1" thickBot="1">
      <c r="B137" s="82" t="str">
        <f>B55</f>
        <v>W 7</v>
      </c>
      <c r="C137" s="1" t="str">
        <f>IF(C55&lt;&gt;"",C55,"")</f>
        <v/>
      </c>
      <c r="D137" s="1" t="str">
        <f t="shared" ref="D137:E140" si="13">IF(E55&lt;&gt;"",E55,"")</f>
        <v/>
      </c>
      <c r="E137" s="143">
        <f t="shared" ca="1" si="13"/>
        <v>0</v>
      </c>
      <c r="F137" s="1391">
        <f>VLOOKUP($B137,Geometrie!$A:$R,15,FALSE)</f>
        <v>0</v>
      </c>
      <c r="G137" s="1391">
        <f>VLOOKUP($B137,Geometrie!$A:$R,16,FALSE)</f>
        <v>0</v>
      </c>
      <c r="H137" s="1392">
        <f>VLOOKUP($B137,Geometrie!$A:$R,17,FALSE)</f>
        <v>0</v>
      </c>
      <c r="I137" s="110" t="s">
        <v>79</v>
      </c>
      <c r="K137" s="87"/>
      <c r="L137" s="87"/>
      <c r="M137" s="9" t="str">
        <f t="shared" ca="1" si="12"/>
        <v/>
      </c>
      <c r="N137" s="9" t="str">
        <f t="shared" ca="1" si="12"/>
        <v/>
      </c>
      <c r="O137" s="9" t="str">
        <f t="shared" ca="1" si="12"/>
        <v/>
      </c>
      <c r="P137" s="9" t="str">
        <f t="shared" ca="1" si="12"/>
        <v/>
      </c>
      <c r="Q137" s="9" t="str">
        <f t="shared" ca="1" si="12"/>
        <v/>
      </c>
      <c r="R137" s="9" t="str">
        <f t="shared" ca="1" si="12"/>
        <v/>
      </c>
      <c r="S137" s="9" t="str">
        <f t="shared" ca="1" si="12"/>
        <v/>
      </c>
      <c r="T137" s="9" t="str">
        <f t="shared" ca="1" si="12"/>
        <v/>
      </c>
      <c r="U137" s="9" t="str">
        <f t="shared" ca="1" si="12"/>
        <v/>
      </c>
      <c r="V137" s="9" t="str">
        <f t="shared" ca="1" si="12"/>
        <v/>
      </c>
      <c r="W137" s="9" t="str">
        <f t="shared" ca="1" si="12"/>
        <v/>
      </c>
      <c r="X137" s="9" t="str">
        <f t="shared" ca="1" si="12"/>
        <v/>
      </c>
    </row>
    <row r="138" spans="2:24" ht="16.5" customHeight="1" thickBot="1">
      <c r="B138" s="82" t="str">
        <f>B56</f>
        <v>W 8</v>
      </c>
      <c r="C138" s="1" t="str">
        <f>IF(C56&lt;&gt;"",C56,"")</f>
        <v/>
      </c>
      <c r="D138" s="1" t="str">
        <f t="shared" si="13"/>
        <v/>
      </c>
      <c r="E138" s="143">
        <f t="shared" ca="1" si="13"/>
        <v>0</v>
      </c>
      <c r="F138" s="1391">
        <f>VLOOKUP($B138,Geometrie!$A:$R,15,FALSE)</f>
        <v>0</v>
      </c>
      <c r="G138" s="1391">
        <f>VLOOKUP($B138,Geometrie!$A:$R,16,FALSE)</f>
        <v>0</v>
      </c>
      <c r="H138" s="1392">
        <f>VLOOKUP($B138,Geometrie!$A:$R,17,FALSE)</f>
        <v>0</v>
      </c>
      <c r="I138" s="110" t="s">
        <v>79</v>
      </c>
      <c r="K138" s="87"/>
      <c r="L138" s="87"/>
      <c r="M138" s="9" t="str">
        <f t="shared" ca="1" si="12"/>
        <v/>
      </c>
      <c r="N138" s="9" t="str">
        <f t="shared" ca="1" si="12"/>
        <v/>
      </c>
      <c r="O138" s="9" t="str">
        <f t="shared" ca="1" si="12"/>
        <v/>
      </c>
      <c r="P138" s="9" t="str">
        <f t="shared" ca="1" si="12"/>
        <v/>
      </c>
      <c r="Q138" s="9" t="str">
        <f t="shared" ca="1" si="12"/>
        <v/>
      </c>
      <c r="R138" s="9" t="str">
        <f t="shared" ca="1" si="12"/>
        <v/>
      </c>
      <c r="S138" s="9" t="str">
        <f t="shared" ca="1" si="12"/>
        <v/>
      </c>
      <c r="T138" s="9" t="str">
        <f t="shared" ca="1" si="12"/>
        <v/>
      </c>
      <c r="U138" s="9" t="str">
        <f t="shared" ca="1" si="12"/>
        <v/>
      </c>
      <c r="V138" s="9" t="str">
        <f t="shared" ca="1" si="12"/>
        <v/>
      </c>
      <c r="W138" s="9" t="str">
        <f t="shared" ca="1" si="12"/>
        <v/>
      </c>
      <c r="X138" s="9" t="str">
        <f t="shared" ca="1" si="12"/>
        <v/>
      </c>
    </row>
    <row r="139" spans="2:24" ht="16.5" customHeight="1" thickBot="1">
      <c r="B139" s="82" t="str">
        <f>B57</f>
        <v>W 9</v>
      </c>
      <c r="C139" s="1" t="str">
        <f>IF(C57&lt;&gt;"",C57,"")</f>
        <v/>
      </c>
      <c r="D139" s="1" t="str">
        <f t="shared" si="13"/>
        <v/>
      </c>
      <c r="E139" s="143">
        <f t="shared" ca="1" si="13"/>
        <v>0</v>
      </c>
      <c r="F139" s="1391">
        <f>VLOOKUP($B139,Geometrie!$A:$R,15,FALSE)</f>
        <v>0</v>
      </c>
      <c r="G139" s="1391">
        <f>VLOOKUP($B139,Geometrie!$A:$R,16,FALSE)</f>
        <v>0</v>
      </c>
      <c r="H139" s="1392">
        <f>VLOOKUP($B139,Geometrie!$A:$R,17,FALSE)</f>
        <v>0</v>
      </c>
      <c r="I139" s="110" t="s">
        <v>79</v>
      </c>
      <c r="K139" s="87"/>
      <c r="L139" s="87"/>
      <c r="M139" s="9" t="str">
        <f t="shared" ca="1" si="12"/>
        <v/>
      </c>
      <c r="N139" s="9" t="str">
        <f t="shared" ca="1" si="12"/>
        <v/>
      </c>
      <c r="O139" s="9" t="str">
        <f t="shared" ca="1" si="12"/>
        <v/>
      </c>
      <c r="P139" s="9" t="str">
        <f t="shared" ca="1" si="12"/>
        <v/>
      </c>
      <c r="Q139" s="9" t="str">
        <f t="shared" ca="1" si="12"/>
        <v/>
      </c>
      <c r="R139" s="9" t="str">
        <f t="shared" ca="1" si="12"/>
        <v/>
      </c>
      <c r="S139" s="9" t="str">
        <f t="shared" ca="1" si="12"/>
        <v/>
      </c>
      <c r="T139" s="9" t="str">
        <f t="shared" ca="1" si="12"/>
        <v/>
      </c>
      <c r="U139" s="9" t="str">
        <f t="shared" ca="1" si="12"/>
        <v/>
      </c>
      <c r="V139" s="9" t="str">
        <f t="shared" ca="1" si="12"/>
        <v/>
      </c>
      <c r="W139" s="9" t="str">
        <f t="shared" ca="1" si="12"/>
        <v/>
      </c>
      <c r="X139" s="9" t="str">
        <f t="shared" ca="1" si="12"/>
        <v/>
      </c>
    </row>
    <row r="140" spans="2:24" ht="16.5" customHeight="1" thickBot="1">
      <c r="B140" s="82" t="str">
        <f>B58</f>
        <v>W 10</v>
      </c>
      <c r="C140" s="1" t="str">
        <f>IF(C58&lt;&gt;"",C58,"")</f>
        <v/>
      </c>
      <c r="D140" s="1" t="str">
        <f t="shared" si="13"/>
        <v/>
      </c>
      <c r="E140" s="143">
        <f t="shared" ca="1" si="13"/>
        <v>0</v>
      </c>
      <c r="F140" s="1391">
        <f>VLOOKUP($B140,Geometrie!$A:$R,15,FALSE)</f>
        <v>0</v>
      </c>
      <c r="G140" s="1391">
        <f>VLOOKUP($B140,Geometrie!$A:$R,16,FALSE)</f>
        <v>0</v>
      </c>
      <c r="H140" s="1392">
        <f>VLOOKUP($B140,Geometrie!$A:$R,17,FALSE)</f>
        <v>0</v>
      </c>
      <c r="I140" s="110" t="s">
        <v>79</v>
      </c>
      <c r="K140" s="87"/>
      <c r="L140" s="87"/>
      <c r="M140" s="9" t="str">
        <f t="shared" ca="1" si="12"/>
        <v/>
      </c>
      <c r="N140" s="9" t="str">
        <f t="shared" ca="1" si="12"/>
        <v/>
      </c>
      <c r="O140" s="9" t="str">
        <f t="shared" ca="1" si="12"/>
        <v/>
      </c>
      <c r="P140" s="9" t="str">
        <f t="shared" ca="1" si="12"/>
        <v/>
      </c>
      <c r="Q140" s="9" t="str">
        <f t="shared" ca="1" si="12"/>
        <v/>
      </c>
      <c r="R140" s="9" t="str">
        <f t="shared" ca="1" si="12"/>
        <v/>
      </c>
      <c r="S140" s="9" t="str">
        <f t="shared" ca="1" si="12"/>
        <v/>
      </c>
      <c r="T140" s="9" t="str">
        <f t="shared" ca="1" si="12"/>
        <v/>
      </c>
      <c r="U140" s="9" t="str">
        <f t="shared" ca="1" si="12"/>
        <v/>
      </c>
      <c r="V140" s="9" t="str">
        <f t="shared" ca="1" si="12"/>
        <v/>
      </c>
      <c r="W140" s="9" t="str">
        <f t="shared" ca="1" si="12"/>
        <v/>
      </c>
      <c r="X140" s="9" t="str">
        <f t="shared" ca="1" si="12"/>
        <v/>
      </c>
    </row>
    <row r="141" spans="2:24" ht="16.5" customHeight="1" thickBot="1">
      <c r="B141" s="82" t="str">
        <f>B90</f>
        <v>W 11</v>
      </c>
      <c r="C141" s="1" t="s">
        <v>12</v>
      </c>
      <c r="D141" s="1" t="s">
        <v>18</v>
      </c>
      <c r="E141" s="143">
        <f ca="1">IF(F90&lt;&gt;"",F90,"")</f>
        <v>2.5</v>
      </c>
      <c r="F141" s="1391">
        <f>VLOOKUP($B141,Geometrie!$A:$R,15,FALSE)</f>
        <v>0.53</v>
      </c>
      <c r="G141" s="1391">
        <f>VLOOKUP($B141,Geometrie!$A:$R,16,FALSE)</f>
        <v>0.9</v>
      </c>
      <c r="H141" s="1392">
        <f>VLOOKUP($B141,Geometrie!$A:$R,17,FALSE)</f>
        <v>0.7</v>
      </c>
      <c r="I141" s="110" t="s">
        <v>79</v>
      </c>
      <c r="K141" s="87"/>
      <c r="L141" s="87"/>
      <c r="M141" s="9">
        <f t="shared" ca="1" si="12"/>
        <v>5.5894860000000008</v>
      </c>
      <c r="N141" s="9">
        <f t="shared" ca="1" si="12"/>
        <v>9.0874224000000012</v>
      </c>
      <c r="O141" s="9">
        <f t="shared" ca="1" si="12"/>
        <v>17.3274066</v>
      </c>
      <c r="P141" s="9">
        <f t="shared" ca="1" si="12"/>
        <v>31.373244</v>
      </c>
      <c r="Q141" s="9">
        <f t="shared" ca="1" si="12"/>
        <v>41.921145000000003</v>
      </c>
      <c r="R141" s="9">
        <f t="shared" ca="1" si="12"/>
        <v>44.896194000000001</v>
      </c>
      <c r="S141" s="9">
        <f t="shared" ca="1" si="12"/>
        <v>45.2748366</v>
      </c>
      <c r="T141" s="9">
        <f t="shared" ca="1" si="12"/>
        <v>31.860070200000003</v>
      </c>
      <c r="U141" s="9">
        <f t="shared" ca="1" si="12"/>
        <v>22.177637999999998</v>
      </c>
      <c r="V141" s="9">
        <f t="shared" ca="1" si="12"/>
        <v>13.973715</v>
      </c>
      <c r="W141" s="9">
        <f t="shared" ca="1" si="12"/>
        <v>7.0319340000000006</v>
      </c>
      <c r="X141" s="9">
        <f t="shared" ca="1" si="12"/>
        <v>3.9126401999999998</v>
      </c>
    </row>
    <row r="142" spans="2:24" ht="16.5" customHeight="1" thickBot="1">
      <c r="B142" s="82" t="str">
        <f>B91</f>
        <v>W 12</v>
      </c>
      <c r="C142" s="1" t="s">
        <v>12</v>
      </c>
      <c r="D142" s="1" t="s">
        <v>18</v>
      </c>
      <c r="E142" s="143">
        <f ca="1">IF(F91&lt;&gt;"",F91,"")</f>
        <v>0</v>
      </c>
      <c r="F142" s="1391">
        <f>VLOOKUP($B142,Geometrie!$A:$R,15,FALSE)</f>
        <v>0</v>
      </c>
      <c r="G142" s="1391">
        <f>VLOOKUP($B142,Geometrie!$A:$R,16,FALSE)</f>
        <v>0</v>
      </c>
      <c r="H142" s="1392">
        <f>VLOOKUP($B142,Geometrie!$A:$R,17,FALSE)</f>
        <v>0</v>
      </c>
      <c r="I142" s="110" t="s">
        <v>79</v>
      </c>
      <c r="K142" s="87"/>
      <c r="L142" s="87"/>
      <c r="M142" s="9">
        <f t="shared" ca="1" si="12"/>
        <v>0</v>
      </c>
      <c r="N142" s="9">
        <f t="shared" ca="1" si="12"/>
        <v>0</v>
      </c>
      <c r="O142" s="9">
        <f t="shared" ca="1" si="12"/>
        <v>0</v>
      </c>
      <c r="P142" s="9">
        <f t="shared" ca="1" si="12"/>
        <v>0</v>
      </c>
      <c r="Q142" s="9">
        <f t="shared" ca="1" si="12"/>
        <v>0</v>
      </c>
      <c r="R142" s="9">
        <f t="shared" ca="1" si="12"/>
        <v>0</v>
      </c>
      <c r="S142" s="9">
        <f t="shared" ca="1" si="12"/>
        <v>0</v>
      </c>
      <c r="T142" s="9">
        <f t="shared" ca="1" si="12"/>
        <v>0</v>
      </c>
      <c r="U142" s="9">
        <f t="shared" ca="1" si="12"/>
        <v>0</v>
      </c>
      <c r="V142" s="9">
        <f t="shared" ca="1" si="12"/>
        <v>0</v>
      </c>
      <c r="W142" s="9">
        <f t="shared" ca="1" si="12"/>
        <v>0</v>
      </c>
      <c r="X142" s="9">
        <f t="shared" ca="1" si="12"/>
        <v>0</v>
      </c>
    </row>
    <row r="143" spans="2:24" ht="16.5" customHeight="1">
      <c r="B143" s="82" t="s">
        <v>80</v>
      </c>
      <c r="E143" s="96"/>
      <c r="F143" s="96"/>
      <c r="G143" s="96"/>
      <c r="H143" s="111" t="s">
        <v>81</v>
      </c>
      <c r="I143" s="110" t="s">
        <v>79</v>
      </c>
      <c r="K143" s="87"/>
      <c r="L143" s="87"/>
      <c r="M143" s="9"/>
      <c r="N143" s="9"/>
      <c r="O143" s="9"/>
      <c r="P143" s="9"/>
      <c r="Q143" s="9"/>
      <c r="R143" s="9"/>
      <c r="S143" s="9"/>
      <c r="T143" s="9"/>
      <c r="U143" s="9"/>
      <c r="V143" s="9"/>
      <c r="W143" s="9"/>
      <c r="X143" s="9"/>
    </row>
    <row r="144" spans="2:24" ht="16.5" customHeight="1">
      <c r="B144" s="93" t="s">
        <v>82</v>
      </c>
      <c r="H144" s="28" t="s">
        <v>1754</v>
      </c>
      <c r="I144" s="114">
        <f ca="1">SUM(M144:X144)</f>
        <v>6974.901625507202</v>
      </c>
      <c r="K144" s="87"/>
      <c r="L144" s="87"/>
      <c r="M144" s="10">
        <f t="shared" ref="M144:X144" ca="1" si="14">SUM(M131:M142)</f>
        <v>245.64449493360004</v>
      </c>
      <c r="N144" s="10">
        <f t="shared" ca="1" si="14"/>
        <v>224.14228320960004</v>
      </c>
      <c r="O144" s="10">
        <f t="shared" ca="1" si="14"/>
        <v>536.68008777600005</v>
      </c>
      <c r="P144" s="10">
        <f t="shared" ca="1" si="14"/>
        <v>894.43604073600011</v>
      </c>
      <c r="Q144" s="10">
        <f t="shared" ca="1" si="14"/>
        <v>944.03064848400004</v>
      </c>
      <c r="R144" s="10">
        <f t="shared" ca="1" si="14"/>
        <v>944.73276004800005</v>
      </c>
      <c r="S144" s="10">
        <f t="shared" ca="1" si="14"/>
        <v>889.08600110400005</v>
      </c>
      <c r="T144" s="10">
        <f t="shared" ca="1" si="14"/>
        <v>821.13350190480003</v>
      </c>
      <c r="U144" s="10">
        <f t="shared" ca="1" si="14"/>
        <v>657.91856340000015</v>
      </c>
      <c r="V144" s="10">
        <f t="shared" ca="1" si="14"/>
        <v>500.90961317040006</v>
      </c>
      <c r="W144" s="10">
        <f t="shared" ca="1" si="14"/>
        <v>187.49083348800005</v>
      </c>
      <c r="X144" s="10">
        <f t="shared" ca="1" si="14"/>
        <v>128.69679725280002</v>
      </c>
    </row>
    <row r="145" spans="2:24" ht="6.75" customHeight="1">
      <c r="B145" s="107"/>
      <c r="C145" s="86"/>
      <c r="D145" s="86"/>
      <c r="E145" s="86"/>
      <c r="F145" s="86"/>
      <c r="G145" s="86"/>
      <c r="H145" s="361"/>
      <c r="I145" s="109"/>
      <c r="K145" s="87"/>
      <c r="L145" s="87"/>
      <c r="M145" s="10"/>
      <c r="N145" s="10"/>
      <c r="O145" s="10"/>
      <c r="P145" s="10"/>
      <c r="Q145" s="10"/>
      <c r="R145" s="10"/>
      <c r="S145" s="10"/>
      <c r="T145" s="10"/>
      <c r="U145" s="10"/>
      <c r="V145" s="10"/>
      <c r="W145" s="10"/>
      <c r="X145" s="10"/>
    </row>
    <row r="146" spans="2:24" ht="16.5" customHeight="1">
      <c r="B146" s="106" t="s">
        <v>150</v>
      </c>
      <c r="C146" s="90"/>
      <c r="D146" s="90"/>
      <c r="E146" s="90"/>
      <c r="F146" s="90"/>
      <c r="G146" s="90"/>
      <c r="H146" s="90"/>
      <c r="I146" s="91"/>
      <c r="K146" s="87">
        <f>ROW(B147)</f>
        <v>147</v>
      </c>
      <c r="L146" s="87">
        <f>ROW(B173)</f>
        <v>173</v>
      </c>
    </row>
    <row r="147" spans="2:24" ht="41.25" customHeight="1">
      <c r="B147" s="344" t="s">
        <v>9</v>
      </c>
      <c r="C147" s="309" t="s">
        <v>77</v>
      </c>
      <c r="D147" s="309" t="s">
        <v>10</v>
      </c>
      <c r="E147" s="618" t="s">
        <v>0</v>
      </c>
      <c r="F147" s="309" t="s">
        <v>137</v>
      </c>
      <c r="G147" s="618" t="s">
        <v>141</v>
      </c>
      <c r="H147" s="309" t="s">
        <v>140</v>
      </c>
      <c r="I147" s="345" t="s">
        <v>54</v>
      </c>
      <c r="K147" s="87"/>
      <c r="L147" s="87"/>
      <c r="M147" s="8" t="s">
        <v>173</v>
      </c>
    </row>
    <row r="148" spans="2:24" ht="16.5" customHeight="1">
      <c r="B148" s="360"/>
      <c r="C148" s="346"/>
      <c r="D148" s="309" t="s">
        <v>115</v>
      </c>
      <c r="E148" s="618" t="s">
        <v>8</v>
      </c>
      <c r="F148" s="618" t="s">
        <v>138</v>
      </c>
      <c r="G148" s="618" t="s">
        <v>139</v>
      </c>
      <c r="H148" s="309" t="s">
        <v>142</v>
      </c>
      <c r="I148" s="345" t="s">
        <v>55</v>
      </c>
      <c r="K148" s="87"/>
      <c r="L148" s="87"/>
      <c r="M148" s="6" t="s">
        <v>116</v>
      </c>
      <c r="N148" s="6" t="s">
        <v>117</v>
      </c>
      <c r="O148" s="6" t="s">
        <v>118</v>
      </c>
      <c r="P148" s="6" t="s">
        <v>119</v>
      </c>
      <c r="Q148" s="6" t="s">
        <v>120</v>
      </c>
      <c r="R148" s="6" t="s">
        <v>121</v>
      </c>
      <c r="S148" s="6" t="s">
        <v>122</v>
      </c>
      <c r="T148" s="6" t="s">
        <v>123</v>
      </c>
      <c r="U148" s="6" t="s">
        <v>124</v>
      </c>
      <c r="V148" s="6" t="s">
        <v>125</v>
      </c>
      <c r="W148" s="6" t="s">
        <v>126</v>
      </c>
      <c r="X148" s="6" t="s">
        <v>127</v>
      </c>
    </row>
    <row r="149" spans="2:24" ht="16.5" customHeight="1" thickBot="1">
      <c r="B149" s="82" t="str">
        <f t="shared" ref="B149:B160" si="15">B18</f>
        <v>AW 1</v>
      </c>
      <c r="C149" s="1" t="str">
        <f t="shared" ref="C149:C160" si="16">IF(C18&lt;&gt;"",C18,"")</f>
        <v>Nord</v>
      </c>
      <c r="D149" s="1" t="str">
        <f t="shared" ref="D149:E160" si="17">IF(E18&lt;&gt;"",E18,"")</f>
        <v>90°</v>
      </c>
      <c r="E149" s="143">
        <f t="shared" ca="1" si="17"/>
        <v>35.787800000000004</v>
      </c>
      <c r="F149" s="1380">
        <v>0.5</v>
      </c>
      <c r="G149" s="740">
        <f t="shared" ref="G149:G170" ca="1" si="18">IF($C149&lt;&gt;"",VLOOKUP($B149,$B$18:$G$75,6,FALSE),0)*0.04</f>
        <v>8.4325872147096789E-3</v>
      </c>
      <c r="H149" s="94">
        <f>IF($C149&lt;&gt;"",IF(OR(D149="60°",D149="90°"),0.5,1)*4*10,0)</f>
        <v>20</v>
      </c>
      <c r="I149" s="110" t="s">
        <v>79</v>
      </c>
      <c r="K149" s="87"/>
      <c r="L149" s="87"/>
      <c r="M149" s="11">
        <f t="shared" ref="M149:X162" ca="1" si="19">IF(AND($C149&lt;&gt;"",$C149&gt;0),0.024*$E149*$G149*($F149*VLOOKUP(IF($D149="0°","Horizontal - 0°",$C149&amp;" - "&amp;$D149),$G$305:$X$337,MONTH((DATEVALUE("1. "&amp;M$4)))+6,FALSE)-$H149)*M$339,"")</f>
        <v>-3.3679065911040715</v>
      </c>
      <c r="N149" s="11">
        <f t="shared" ca="1" si="19"/>
        <v>-2.2307854409893637</v>
      </c>
      <c r="O149" s="11">
        <f t="shared" ca="1" si="19"/>
        <v>-1.0103719773312214</v>
      </c>
      <c r="P149" s="11">
        <f t="shared" ca="1" si="19"/>
        <v>1.9555586658023643</v>
      </c>
      <c r="Q149" s="11">
        <f t="shared" ca="1" si="19"/>
        <v>3.929224356288084</v>
      </c>
      <c r="R149" s="11">
        <f t="shared" ca="1" si="19"/>
        <v>4.6716123683056479</v>
      </c>
      <c r="S149" s="11">
        <f t="shared" ca="1" si="19"/>
        <v>4.6028056745088985</v>
      </c>
      <c r="T149" s="11">
        <f t="shared" ca="1" si="19"/>
        <v>1.9084804016256407</v>
      </c>
      <c r="U149" s="11">
        <f t="shared" ca="1" si="19"/>
        <v>0.10864214810013134</v>
      </c>
      <c r="V149" s="11">
        <f t="shared" ca="1" si="19"/>
        <v>-1.6839532955520358</v>
      </c>
      <c r="W149" s="11">
        <f t="shared" ca="1" si="19"/>
        <v>-2.9333379987035464</v>
      </c>
      <c r="X149" s="11">
        <f t="shared" ca="1" si="19"/>
        <v>-3.7046972502144788</v>
      </c>
    </row>
    <row r="150" spans="2:24" ht="16.5" customHeight="1" thickBot="1">
      <c r="B150" s="82" t="str">
        <f t="shared" si="15"/>
        <v>AW 2</v>
      </c>
      <c r="C150" s="1" t="str">
        <f t="shared" si="16"/>
        <v>West</v>
      </c>
      <c r="D150" s="1" t="str">
        <f t="shared" si="17"/>
        <v>90°</v>
      </c>
      <c r="E150" s="143">
        <f t="shared" ca="1" si="17"/>
        <v>36.936199999999999</v>
      </c>
      <c r="F150" s="1380">
        <v>0.5</v>
      </c>
      <c r="G150" s="740">
        <f t="shared" ca="1" si="18"/>
        <v>8.4325872147096789E-3</v>
      </c>
      <c r="H150" s="94">
        <f t="shared" ref="H150:H170" si="20">IF($C150&lt;&gt;"",IF(OR(D150="60°",D150="90°"),0.5,1)*4*10,0)</f>
        <v>20</v>
      </c>
      <c r="I150" s="110" t="s">
        <v>79</v>
      </c>
      <c r="K150" s="87"/>
      <c r="L150" s="87"/>
      <c r="M150" s="11">
        <f t="shared" ca="1" si="19"/>
        <v>-2.6649178797409347</v>
      </c>
      <c r="N150" s="11">
        <f t="shared" ca="1" si="19"/>
        <v>-1.6744505050826632</v>
      </c>
      <c r="O150" s="11">
        <f t="shared" ca="1" si="19"/>
        <v>2.3173198954268996</v>
      </c>
      <c r="P150" s="11">
        <f t="shared" ca="1" si="19"/>
        <v>8.297500270722125</v>
      </c>
      <c r="Q150" s="11">
        <f t="shared" ca="1" si="19"/>
        <v>10.080341545107014</v>
      </c>
      <c r="R150" s="11">
        <f t="shared" ca="1" si="19"/>
        <v>10.764324675531407</v>
      </c>
      <c r="S150" s="11">
        <f t="shared" ca="1" si="19"/>
        <v>8.9216815973935653</v>
      </c>
      <c r="T150" s="11">
        <f t="shared" ca="1" si="19"/>
        <v>7.5312896601374248</v>
      </c>
      <c r="U150" s="11">
        <f t="shared" ca="1" si="19"/>
        <v>4.3730068994346345</v>
      </c>
      <c r="V150" s="11">
        <f t="shared" ca="1" si="19"/>
        <v>0.81106196339941505</v>
      </c>
      <c r="W150" s="11">
        <f t="shared" ca="1" si="19"/>
        <v>-2.3546960227724951</v>
      </c>
      <c r="X150" s="11">
        <f t="shared" ca="1" si="19"/>
        <v>-3.360113848369005</v>
      </c>
    </row>
    <row r="151" spans="2:24" ht="16.5" customHeight="1" thickBot="1">
      <c r="B151" s="82" t="str">
        <f t="shared" si="15"/>
        <v>AW 3</v>
      </c>
      <c r="C151" s="1" t="str">
        <f t="shared" si="16"/>
        <v>Süd</v>
      </c>
      <c r="D151" s="1" t="str">
        <f t="shared" si="17"/>
        <v>90°</v>
      </c>
      <c r="E151" s="143">
        <f t="shared" ca="1" si="17"/>
        <v>33.43780000000001</v>
      </c>
      <c r="F151" s="1380">
        <v>0.5</v>
      </c>
      <c r="G151" s="740">
        <f t="shared" ca="1" si="18"/>
        <v>8.4325872147096789E-3</v>
      </c>
      <c r="H151" s="94">
        <f t="shared" si="20"/>
        <v>20</v>
      </c>
      <c r="I151" s="110" t="s">
        <v>79</v>
      </c>
      <c r="K151" s="87"/>
      <c r="L151" s="87"/>
      <c r="M151" s="11">
        <f t="shared" ca="1" si="19"/>
        <v>1.992943920580361</v>
      </c>
      <c r="N151" s="11">
        <f t="shared" ca="1" si="19"/>
        <v>0.66318677153438166</v>
      </c>
      <c r="O151" s="11">
        <f t="shared" ca="1" si="19"/>
        <v>6.0837235470347872</v>
      </c>
      <c r="P151" s="11">
        <f t="shared" ca="1" si="19"/>
        <v>10.861375186864107</v>
      </c>
      <c r="Q151" s="11">
        <f t="shared" ca="1" si="19"/>
        <v>9.6500442470206949</v>
      </c>
      <c r="R151" s="11">
        <f t="shared" ca="1" si="19"/>
        <v>8.5266870625849069</v>
      </c>
      <c r="S151" s="11">
        <f t="shared" ca="1" si="19"/>
        <v>7.657100326440335</v>
      </c>
      <c r="T151" s="11">
        <f t="shared" ca="1" si="19"/>
        <v>9.1255853205521795</v>
      </c>
      <c r="U151" s="11">
        <f t="shared" ca="1" si="19"/>
        <v>8.4251788832684191</v>
      </c>
      <c r="V151" s="11">
        <f t="shared" ca="1" si="19"/>
        <v>6.9228578293844123</v>
      </c>
      <c r="W151" s="11">
        <f t="shared" ca="1" si="19"/>
        <v>-0.10150817931648698</v>
      </c>
      <c r="X151" s="11">
        <f t="shared" ca="1" si="19"/>
        <v>-1.1538096382307352</v>
      </c>
    </row>
    <row r="152" spans="2:24" ht="16.5" customHeight="1" thickBot="1">
      <c r="B152" s="82" t="str">
        <f t="shared" si="15"/>
        <v>AW 4</v>
      </c>
      <c r="C152" s="1" t="str">
        <f t="shared" si="16"/>
        <v>Ost</v>
      </c>
      <c r="D152" s="1" t="str">
        <f t="shared" si="17"/>
        <v>90°</v>
      </c>
      <c r="E152" s="143">
        <f t="shared" ca="1" si="17"/>
        <v>37.1462</v>
      </c>
      <c r="F152" s="1380">
        <v>0.5</v>
      </c>
      <c r="G152" s="740">
        <f t="shared" ca="1" si="18"/>
        <v>8.4325872147096789E-3</v>
      </c>
      <c r="H152" s="94">
        <f t="shared" si="20"/>
        <v>20</v>
      </c>
      <c r="I152" s="110" t="s">
        <v>79</v>
      </c>
      <c r="K152" s="87"/>
      <c r="L152" s="87"/>
      <c r="M152" s="11">
        <f t="shared" ca="1" si="19"/>
        <v>-1.7478712272683714</v>
      </c>
      <c r="N152" s="11">
        <f t="shared" ca="1" si="19"/>
        <v>-1.1577297591369</v>
      </c>
      <c r="O152" s="11">
        <f t="shared" ca="1" si="19"/>
        <v>3.2626929575676269</v>
      </c>
      <c r="P152" s="11">
        <f t="shared" ca="1" si="19"/>
        <v>10.599993249240447</v>
      </c>
      <c r="Q152" s="11">
        <f t="shared" ca="1" si="19"/>
        <v>11.302900603002135</v>
      </c>
      <c r="R152" s="11">
        <f t="shared" ca="1" si="19"/>
        <v>12.404247419323926</v>
      </c>
      <c r="S152" s="11">
        <f t="shared" ca="1" si="19"/>
        <v>11.419425351486694</v>
      </c>
      <c r="T152" s="11">
        <f t="shared" ca="1" si="19"/>
        <v>8.7393561363418577</v>
      </c>
      <c r="U152" s="11">
        <f t="shared" ca="1" si="19"/>
        <v>4.8489330820993528</v>
      </c>
      <c r="V152" s="11">
        <f t="shared" ca="1" si="19"/>
        <v>1.7478712272683714</v>
      </c>
      <c r="W152" s="11">
        <f t="shared" ca="1" si="19"/>
        <v>-2.2553177126043504</v>
      </c>
      <c r="X152" s="11">
        <f t="shared" ca="1" si="19"/>
        <v>-3.2626929575676269</v>
      </c>
    </row>
    <row r="153" spans="2:24" ht="16.5" customHeight="1" thickBot="1">
      <c r="B153" s="82" t="str">
        <f t="shared" si="15"/>
        <v>AW 5</v>
      </c>
      <c r="C153" s="1">
        <f t="shared" si="16"/>
        <v>0</v>
      </c>
      <c r="D153" s="1" t="str">
        <f t="shared" si="17"/>
        <v>90°</v>
      </c>
      <c r="E153" s="143">
        <f t="shared" ca="1" si="17"/>
        <v>0</v>
      </c>
      <c r="F153" s="1380">
        <v>0.5</v>
      </c>
      <c r="G153" s="740">
        <f t="shared" si="18"/>
        <v>0</v>
      </c>
      <c r="H153" s="94">
        <f t="shared" si="20"/>
        <v>20</v>
      </c>
      <c r="I153" s="110" t="s">
        <v>79</v>
      </c>
      <c r="K153" s="87"/>
      <c r="L153" s="87"/>
      <c r="M153" s="11" t="str">
        <f t="shared" si="19"/>
        <v/>
      </c>
      <c r="N153" s="11" t="str">
        <f t="shared" si="19"/>
        <v/>
      </c>
      <c r="O153" s="11" t="str">
        <f t="shared" si="19"/>
        <v/>
      </c>
      <c r="P153" s="11" t="str">
        <f t="shared" si="19"/>
        <v/>
      </c>
      <c r="Q153" s="11" t="str">
        <f t="shared" si="19"/>
        <v/>
      </c>
      <c r="R153" s="11" t="str">
        <f t="shared" si="19"/>
        <v/>
      </c>
      <c r="S153" s="11" t="str">
        <f t="shared" si="19"/>
        <v/>
      </c>
      <c r="T153" s="11" t="str">
        <f t="shared" si="19"/>
        <v/>
      </c>
      <c r="U153" s="11" t="str">
        <f t="shared" si="19"/>
        <v/>
      </c>
      <c r="V153" s="11" t="str">
        <f t="shared" si="19"/>
        <v/>
      </c>
      <c r="W153" s="11" t="str">
        <f t="shared" si="19"/>
        <v/>
      </c>
      <c r="X153" s="11" t="str">
        <f t="shared" si="19"/>
        <v/>
      </c>
    </row>
    <row r="154" spans="2:24" ht="16.5" customHeight="1" thickBot="1">
      <c r="B154" s="82" t="str">
        <f t="shared" si="15"/>
        <v>AW 6</v>
      </c>
      <c r="C154" s="1">
        <f t="shared" si="16"/>
        <v>0</v>
      </c>
      <c r="D154" s="1" t="str">
        <f t="shared" si="17"/>
        <v>90°</v>
      </c>
      <c r="E154" s="143">
        <f t="shared" ca="1" si="17"/>
        <v>0</v>
      </c>
      <c r="F154" s="1380">
        <v>0.5</v>
      </c>
      <c r="G154" s="740">
        <f t="shared" si="18"/>
        <v>0</v>
      </c>
      <c r="H154" s="94">
        <f t="shared" si="20"/>
        <v>20</v>
      </c>
      <c r="I154" s="110" t="s">
        <v>79</v>
      </c>
      <c r="K154" s="87"/>
      <c r="L154" s="87"/>
      <c r="M154" s="11" t="str">
        <f t="shared" si="19"/>
        <v/>
      </c>
      <c r="N154" s="11" t="str">
        <f t="shared" si="19"/>
        <v/>
      </c>
      <c r="O154" s="11" t="str">
        <f t="shared" si="19"/>
        <v/>
      </c>
      <c r="P154" s="11" t="str">
        <f t="shared" si="19"/>
        <v/>
      </c>
      <c r="Q154" s="11" t="str">
        <f t="shared" si="19"/>
        <v/>
      </c>
      <c r="R154" s="11" t="str">
        <f t="shared" si="19"/>
        <v/>
      </c>
      <c r="S154" s="11" t="str">
        <f t="shared" si="19"/>
        <v/>
      </c>
      <c r="T154" s="11" t="str">
        <f t="shared" si="19"/>
        <v/>
      </c>
      <c r="U154" s="11" t="str">
        <f t="shared" si="19"/>
        <v/>
      </c>
      <c r="V154" s="11" t="str">
        <f t="shared" si="19"/>
        <v/>
      </c>
      <c r="W154" s="11" t="str">
        <f t="shared" si="19"/>
        <v/>
      </c>
      <c r="X154" s="11" t="str">
        <f t="shared" si="19"/>
        <v/>
      </c>
    </row>
    <row r="155" spans="2:24" ht="16.5" customHeight="1" thickBot="1">
      <c r="B155" s="82" t="str">
        <f t="shared" si="15"/>
        <v>AW 7</v>
      </c>
      <c r="C155" s="1">
        <f t="shared" si="16"/>
        <v>0</v>
      </c>
      <c r="D155" s="1" t="str">
        <f t="shared" si="17"/>
        <v>90°</v>
      </c>
      <c r="E155" s="143">
        <f t="shared" ca="1" si="17"/>
        <v>0</v>
      </c>
      <c r="F155" s="1380">
        <v>0.5</v>
      </c>
      <c r="G155" s="740">
        <f t="shared" si="18"/>
        <v>0</v>
      </c>
      <c r="H155" s="94">
        <f t="shared" si="20"/>
        <v>20</v>
      </c>
      <c r="I155" s="110" t="s">
        <v>79</v>
      </c>
      <c r="K155" s="87"/>
      <c r="L155" s="87"/>
      <c r="M155" s="11" t="str">
        <f t="shared" si="19"/>
        <v/>
      </c>
      <c r="N155" s="11" t="str">
        <f t="shared" si="19"/>
        <v/>
      </c>
      <c r="O155" s="11" t="str">
        <f t="shared" si="19"/>
        <v/>
      </c>
      <c r="P155" s="11" t="str">
        <f t="shared" si="19"/>
        <v/>
      </c>
      <c r="Q155" s="11" t="str">
        <f t="shared" si="19"/>
        <v/>
      </c>
      <c r="R155" s="11" t="str">
        <f t="shared" si="19"/>
        <v/>
      </c>
      <c r="S155" s="11" t="str">
        <f t="shared" si="19"/>
        <v/>
      </c>
      <c r="T155" s="11" t="str">
        <f t="shared" si="19"/>
        <v/>
      </c>
      <c r="U155" s="11" t="str">
        <f t="shared" si="19"/>
        <v/>
      </c>
      <c r="V155" s="11" t="str">
        <f t="shared" si="19"/>
        <v/>
      </c>
      <c r="W155" s="11" t="str">
        <f t="shared" si="19"/>
        <v/>
      </c>
      <c r="X155" s="11" t="str">
        <f t="shared" si="19"/>
        <v/>
      </c>
    </row>
    <row r="156" spans="2:24" ht="16.5" customHeight="1" thickBot="1">
      <c r="B156" s="82" t="str">
        <f t="shared" si="15"/>
        <v>AW 8</v>
      </c>
      <c r="C156" s="1">
        <f t="shared" si="16"/>
        <v>0</v>
      </c>
      <c r="D156" s="1" t="str">
        <f t="shared" si="17"/>
        <v>90°</v>
      </c>
      <c r="E156" s="143">
        <f t="shared" ca="1" si="17"/>
        <v>0</v>
      </c>
      <c r="F156" s="1380">
        <v>0.5</v>
      </c>
      <c r="G156" s="740">
        <f t="shared" si="18"/>
        <v>0</v>
      </c>
      <c r="H156" s="94">
        <f t="shared" si="20"/>
        <v>20</v>
      </c>
      <c r="I156" s="110" t="s">
        <v>79</v>
      </c>
      <c r="K156" s="87"/>
      <c r="L156" s="87"/>
      <c r="M156" s="11" t="str">
        <f t="shared" si="19"/>
        <v/>
      </c>
      <c r="N156" s="11" t="str">
        <f t="shared" si="19"/>
        <v/>
      </c>
      <c r="O156" s="11" t="str">
        <f t="shared" si="19"/>
        <v/>
      </c>
      <c r="P156" s="11" t="str">
        <f t="shared" si="19"/>
        <v/>
      </c>
      <c r="Q156" s="11" t="str">
        <f t="shared" si="19"/>
        <v/>
      </c>
      <c r="R156" s="11" t="str">
        <f t="shared" si="19"/>
        <v/>
      </c>
      <c r="S156" s="11" t="str">
        <f t="shared" si="19"/>
        <v/>
      </c>
      <c r="T156" s="11" t="str">
        <f t="shared" si="19"/>
        <v/>
      </c>
      <c r="U156" s="11" t="str">
        <f t="shared" si="19"/>
        <v/>
      </c>
      <c r="V156" s="11" t="str">
        <f t="shared" si="19"/>
        <v/>
      </c>
      <c r="W156" s="11" t="str">
        <f t="shared" si="19"/>
        <v/>
      </c>
      <c r="X156" s="11" t="str">
        <f t="shared" si="19"/>
        <v/>
      </c>
    </row>
    <row r="157" spans="2:24" ht="16.5" customHeight="1" thickBot="1">
      <c r="B157" s="82" t="str">
        <f t="shared" si="15"/>
        <v>AW 9</v>
      </c>
      <c r="C157" s="1">
        <f t="shared" si="16"/>
        <v>0</v>
      </c>
      <c r="D157" s="1" t="str">
        <f t="shared" si="17"/>
        <v>90°</v>
      </c>
      <c r="E157" s="143">
        <f t="shared" ca="1" si="17"/>
        <v>0</v>
      </c>
      <c r="F157" s="1380">
        <v>0.5</v>
      </c>
      <c r="G157" s="740">
        <f t="shared" si="18"/>
        <v>0</v>
      </c>
      <c r="H157" s="94">
        <f t="shared" si="20"/>
        <v>20</v>
      </c>
      <c r="I157" s="110" t="s">
        <v>79</v>
      </c>
      <c r="K157" s="87"/>
      <c r="L157" s="87"/>
      <c r="M157" s="11" t="str">
        <f t="shared" si="19"/>
        <v/>
      </c>
      <c r="N157" s="11" t="str">
        <f t="shared" si="19"/>
        <v/>
      </c>
      <c r="O157" s="11" t="str">
        <f t="shared" si="19"/>
        <v/>
      </c>
      <c r="P157" s="11" t="str">
        <f t="shared" si="19"/>
        <v/>
      </c>
      <c r="Q157" s="11" t="str">
        <f t="shared" si="19"/>
        <v/>
      </c>
      <c r="R157" s="11" t="str">
        <f t="shared" si="19"/>
        <v/>
      </c>
      <c r="S157" s="11" t="str">
        <f t="shared" si="19"/>
        <v/>
      </c>
      <c r="T157" s="11" t="str">
        <f t="shared" si="19"/>
        <v/>
      </c>
      <c r="U157" s="11" t="str">
        <f t="shared" si="19"/>
        <v/>
      </c>
      <c r="V157" s="11" t="str">
        <f t="shared" si="19"/>
        <v/>
      </c>
      <c r="W157" s="11" t="str">
        <f t="shared" si="19"/>
        <v/>
      </c>
      <c r="X157" s="11" t="str">
        <f t="shared" si="19"/>
        <v/>
      </c>
    </row>
    <row r="158" spans="2:24" ht="16.5" customHeight="1" thickBot="1">
      <c r="B158" s="82" t="str">
        <f t="shared" si="15"/>
        <v>AW 10</v>
      </c>
      <c r="C158" s="1">
        <f t="shared" si="16"/>
        <v>0</v>
      </c>
      <c r="D158" s="1" t="str">
        <f t="shared" si="17"/>
        <v>90°</v>
      </c>
      <c r="E158" s="143">
        <f t="shared" ca="1" si="17"/>
        <v>0</v>
      </c>
      <c r="F158" s="1380">
        <v>0.5</v>
      </c>
      <c r="G158" s="740">
        <f t="shared" si="18"/>
        <v>0</v>
      </c>
      <c r="H158" s="94">
        <f t="shared" si="20"/>
        <v>20</v>
      </c>
      <c r="I158" s="110" t="s">
        <v>79</v>
      </c>
      <c r="K158" s="87"/>
      <c r="L158" s="87"/>
      <c r="M158" s="11" t="str">
        <f t="shared" si="19"/>
        <v/>
      </c>
      <c r="N158" s="11" t="str">
        <f t="shared" si="19"/>
        <v/>
      </c>
      <c r="O158" s="11" t="str">
        <f t="shared" si="19"/>
        <v/>
      </c>
      <c r="P158" s="11" t="str">
        <f t="shared" si="19"/>
        <v/>
      </c>
      <c r="Q158" s="11" t="str">
        <f t="shared" si="19"/>
        <v/>
      </c>
      <c r="R158" s="11" t="str">
        <f t="shared" si="19"/>
        <v/>
      </c>
      <c r="S158" s="11" t="str">
        <f t="shared" si="19"/>
        <v/>
      </c>
      <c r="T158" s="11" t="str">
        <f t="shared" si="19"/>
        <v/>
      </c>
      <c r="U158" s="11" t="str">
        <f t="shared" si="19"/>
        <v/>
      </c>
      <c r="V158" s="11" t="str">
        <f t="shared" si="19"/>
        <v/>
      </c>
      <c r="W158" s="11" t="str">
        <f t="shared" si="19"/>
        <v/>
      </c>
      <c r="X158" s="11" t="str">
        <f t="shared" si="19"/>
        <v/>
      </c>
    </row>
    <row r="159" spans="2:24" ht="16.5" customHeight="1" thickBot="1">
      <c r="B159" s="82" t="str">
        <f t="shared" si="15"/>
        <v>AW 11</v>
      </c>
      <c r="C159" s="1">
        <f t="shared" si="16"/>
        <v>0</v>
      </c>
      <c r="D159" s="1" t="str">
        <f t="shared" si="17"/>
        <v>90°</v>
      </c>
      <c r="E159" s="143">
        <f t="shared" ca="1" si="17"/>
        <v>0</v>
      </c>
      <c r="F159" s="1380">
        <v>0.5</v>
      </c>
      <c r="G159" s="740">
        <f t="shared" si="18"/>
        <v>0</v>
      </c>
      <c r="H159" s="94">
        <f t="shared" si="20"/>
        <v>20</v>
      </c>
      <c r="I159" s="110" t="s">
        <v>79</v>
      </c>
      <c r="K159" s="87"/>
      <c r="L159" s="87"/>
      <c r="M159" s="11" t="str">
        <f t="shared" si="19"/>
        <v/>
      </c>
      <c r="N159" s="11" t="str">
        <f t="shared" si="19"/>
        <v/>
      </c>
      <c r="O159" s="11" t="str">
        <f t="shared" si="19"/>
        <v/>
      </c>
      <c r="P159" s="11" t="str">
        <f t="shared" si="19"/>
        <v/>
      </c>
      <c r="Q159" s="11" t="str">
        <f t="shared" si="19"/>
        <v/>
      </c>
      <c r="R159" s="11" t="str">
        <f t="shared" si="19"/>
        <v/>
      </c>
      <c r="S159" s="11" t="str">
        <f t="shared" si="19"/>
        <v/>
      </c>
      <c r="T159" s="11" t="str">
        <f t="shared" si="19"/>
        <v/>
      </c>
      <c r="U159" s="11" t="str">
        <f t="shared" si="19"/>
        <v/>
      </c>
      <c r="V159" s="11" t="str">
        <f t="shared" si="19"/>
        <v/>
      </c>
      <c r="W159" s="11" t="str">
        <f t="shared" si="19"/>
        <v/>
      </c>
      <c r="X159" s="11" t="str">
        <f t="shared" si="19"/>
        <v/>
      </c>
    </row>
    <row r="160" spans="2:24" ht="16.5" customHeight="1" thickBot="1">
      <c r="B160" s="82" t="str">
        <f t="shared" si="15"/>
        <v>AW 12</v>
      </c>
      <c r="C160" s="1">
        <f t="shared" si="16"/>
        <v>0</v>
      </c>
      <c r="D160" s="1" t="str">
        <f t="shared" si="17"/>
        <v>90°</v>
      </c>
      <c r="E160" s="143">
        <f t="shared" ca="1" si="17"/>
        <v>0</v>
      </c>
      <c r="F160" s="1380">
        <v>0.5</v>
      </c>
      <c r="G160" s="740">
        <f t="shared" si="18"/>
        <v>0</v>
      </c>
      <c r="H160" s="94">
        <f t="shared" si="20"/>
        <v>20</v>
      </c>
      <c r="I160" s="110" t="s">
        <v>79</v>
      </c>
      <c r="K160" s="87"/>
      <c r="L160" s="87"/>
      <c r="M160" s="11" t="str">
        <f t="shared" si="19"/>
        <v/>
      </c>
      <c r="N160" s="11" t="str">
        <f t="shared" si="19"/>
        <v/>
      </c>
      <c r="O160" s="11" t="str">
        <f t="shared" si="19"/>
        <v/>
      </c>
      <c r="P160" s="11" t="str">
        <f t="shared" si="19"/>
        <v/>
      </c>
      <c r="Q160" s="11" t="str">
        <f t="shared" si="19"/>
        <v/>
      </c>
      <c r="R160" s="11" t="str">
        <f t="shared" si="19"/>
        <v/>
      </c>
      <c r="S160" s="11" t="str">
        <f t="shared" si="19"/>
        <v/>
      </c>
      <c r="T160" s="11" t="str">
        <f t="shared" si="19"/>
        <v/>
      </c>
      <c r="U160" s="11" t="str">
        <f t="shared" si="19"/>
        <v/>
      </c>
      <c r="V160" s="11" t="str">
        <f t="shared" si="19"/>
        <v/>
      </c>
      <c r="W160" s="11" t="str">
        <f t="shared" si="19"/>
        <v/>
      </c>
      <c r="X160" s="11" t="str">
        <f t="shared" si="19"/>
        <v/>
      </c>
    </row>
    <row r="161" spans="2:24" ht="16.5" customHeight="1" thickBot="1">
      <c r="B161" s="82" t="str">
        <f>B40</f>
        <v>T 1</v>
      </c>
      <c r="C161" s="1" t="str">
        <f>IF(C40&lt;&gt;"",C40,"")</f>
        <v>Nord</v>
      </c>
      <c r="D161" s="1" t="str">
        <f>IF(E40&lt;&gt;"",E40,"")</f>
        <v>90°</v>
      </c>
      <c r="E161" s="143">
        <f ca="1">IF(F40&lt;&gt;"",F40,"")</f>
        <v>3.81</v>
      </c>
      <c r="F161" s="1380">
        <v>0.5</v>
      </c>
      <c r="G161" s="740">
        <f>IF($C161&lt;&gt;"",VLOOKUP($B161,$B$18:$G$75,6,FALSE),0)*0.04</f>
        <v>7.2000000000000008E-2</v>
      </c>
      <c r="H161" s="94">
        <f t="shared" si="20"/>
        <v>20</v>
      </c>
      <c r="I161" s="110" t="s">
        <v>79</v>
      </c>
      <c r="K161" s="87"/>
      <c r="L161" s="87"/>
      <c r="M161" s="11">
        <f t="shared" ca="1" si="19"/>
        <v>-3.0614112000000007</v>
      </c>
      <c r="N161" s="11">
        <f t="shared" ca="1" si="19"/>
        <v>-2.0277734400000003</v>
      </c>
      <c r="O161" s="11">
        <f t="shared" ca="1" si="19"/>
        <v>-0.91842336000000024</v>
      </c>
      <c r="P161" s="11">
        <f t="shared" ca="1" si="19"/>
        <v>1.7775936000000003</v>
      </c>
      <c r="Q161" s="11">
        <f t="shared" ca="1" si="19"/>
        <v>3.5716464000000006</v>
      </c>
      <c r="R161" s="11">
        <f t="shared" ca="1" si="19"/>
        <v>4.2464736000000007</v>
      </c>
      <c r="S161" s="11">
        <f t="shared" ca="1" si="19"/>
        <v>4.1839286400000004</v>
      </c>
      <c r="T161" s="11">
        <f t="shared" ca="1" si="19"/>
        <v>1.7347996800000005</v>
      </c>
      <c r="U161" s="11">
        <f t="shared" ca="1" si="19"/>
        <v>9.8755200000000015E-2</v>
      </c>
      <c r="V161" s="11">
        <f t="shared" ca="1" si="19"/>
        <v>-1.5307056000000003</v>
      </c>
      <c r="W161" s="11">
        <f t="shared" ca="1" si="19"/>
        <v>-2.6663904000000005</v>
      </c>
      <c r="X161" s="11">
        <f t="shared" ca="1" si="19"/>
        <v>-3.367552320000001</v>
      </c>
    </row>
    <row r="162" spans="2:24" ht="16.5" customHeight="1" thickBot="1">
      <c r="B162" s="82" t="str">
        <f>B41</f>
        <v>T 2</v>
      </c>
      <c r="C162" s="1" t="str">
        <f>IF(C41&lt;&gt;"",C41,"")</f>
        <v/>
      </c>
      <c r="D162" s="1" t="str">
        <f>IF(E41&lt;&gt;"",E41,"")</f>
        <v>90°</v>
      </c>
      <c r="E162" s="143">
        <f ca="1">IF(F41&lt;&gt;"",F41,"")</f>
        <v>0</v>
      </c>
      <c r="F162" s="1380">
        <v>0.5</v>
      </c>
      <c r="G162" s="740">
        <f t="shared" si="18"/>
        <v>0</v>
      </c>
      <c r="H162" s="94">
        <f>IF($C162&lt;&gt;"",IF(OR(D162="60°",D162="90°"),0.5,1)*4*10,0)</f>
        <v>0</v>
      </c>
      <c r="I162" s="110" t="s">
        <v>79</v>
      </c>
      <c r="K162" s="87"/>
      <c r="L162" s="87"/>
      <c r="M162" s="11" t="str">
        <f t="shared" si="19"/>
        <v/>
      </c>
      <c r="N162" s="11" t="str">
        <f t="shared" si="19"/>
        <v/>
      </c>
      <c r="O162" s="11" t="str">
        <f t="shared" si="19"/>
        <v/>
      </c>
      <c r="P162" s="11" t="str">
        <f t="shared" si="19"/>
        <v/>
      </c>
      <c r="Q162" s="11" t="str">
        <f t="shared" si="19"/>
        <v/>
      </c>
      <c r="R162" s="11" t="str">
        <f t="shared" si="19"/>
        <v/>
      </c>
      <c r="S162" s="11" t="str">
        <f t="shared" si="19"/>
        <v/>
      </c>
      <c r="T162" s="11" t="str">
        <f t="shared" si="19"/>
        <v/>
      </c>
      <c r="U162" s="11" t="str">
        <f t="shared" si="19"/>
        <v/>
      </c>
      <c r="V162" s="11" t="str">
        <f t="shared" si="19"/>
        <v/>
      </c>
      <c r="W162" s="11" t="str">
        <f t="shared" si="19"/>
        <v/>
      </c>
      <c r="X162" s="11" t="str">
        <f t="shared" si="19"/>
        <v/>
      </c>
    </row>
    <row r="163" spans="2:24" ht="16.5" customHeight="1" thickBot="1">
      <c r="B163" s="82" t="str">
        <f t="shared" ref="B163:B170" si="21">B45</f>
        <v>D 1</v>
      </c>
      <c r="C163" s="1" t="str">
        <f t="shared" ref="C163:C170" si="22">IF(C45&lt;&gt;"",C45,"")</f>
        <v>Nord</v>
      </c>
      <c r="D163" s="1" t="str">
        <f t="shared" ref="D163:E170" si="23">IF(E45&lt;&gt;"",E45,"")</f>
        <v>45°</v>
      </c>
      <c r="E163" s="143">
        <f t="shared" ca="1" si="23"/>
        <v>22.648000000000003</v>
      </c>
      <c r="F163" s="1380">
        <v>0.5</v>
      </c>
      <c r="G163" s="740">
        <f t="shared" ca="1" si="18"/>
        <v>7.1341593487149703E-3</v>
      </c>
      <c r="H163" s="94">
        <f t="shared" si="20"/>
        <v>40</v>
      </c>
      <c r="I163" s="110" t="s">
        <v>79</v>
      </c>
      <c r="K163" s="87"/>
      <c r="L163" s="87"/>
      <c r="M163" s="11">
        <f t="shared" ref="M163:X170" ca="1" si="24">IF(AND($C163&lt;&gt;"",$C163&gt;0),0.024*$E163*$G163*($F163*VLOOKUP(IF(OR($C163="Horizontal",$D163="0°"),"Horizontal - 0°",$C163&amp;" - "&amp;$D163),$G$305:$X$337,MONTH((DATEVALUE("1. "&amp;M$4)))+6,FALSE)-$H163)*M$339,"")</f>
        <v>-3.9068699816800652</v>
      </c>
      <c r="N163" s="11">
        <f t="shared" ca="1" si="24"/>
        <v>-2.931606656228416</v>
      </c>
      <c r="O163" s="11">
        <f t="shared" ca="1" si="24"/>
        <v>-2.2239106049563446</v>
      </c>
      <c r="P163" s="11">
        <f t="shared" ca="1" si="24"/>
        <v>0.58166798734690794</v>
      </c>
      <c r="Q163" s="11">
        <f t="shared" ca="1" si="24"/>
        <v>3.3659187534474406</v>
      </c>
      <c r="R163" s="11">
        <f t="shared" ca="1" si="24"/>
        <v>4.7115106975099543</v>
      </c>
      <c r="S163" s="11">
        <f t="shared" ca="1" si="24"/>
        <v>3.9068699816800652</v>
      </c>
      <c r="T163" s="11">
        <f t="shared" ca="1" si="24"/>
        <v>0.9015853803877073</v>
      </c>
      <c r="U163" s="11">
        <f t="shared" ca="1" si="24"/>
        <v>-1.396003169632579</v>
      </c>
      <c r="V163" s="11">
        <f t="shared" ca="1" si="24"/>
        <v>-2.8249675252148161</v>
      </c>
      <c r="W163" s="11">
        <f t="shared" ca="1" si="24"/>
        <v>-3.5481747228161384</v>
      </c>
      <c r="X163" s="11">
        <f t="shared" ca="1" si="24"/>
        <v>-4.2073984418093007</v>
      </c>
    </row>
    <row r="164" spans="2:24" ht="16.5" customHeight="1" thickBot="1">
      <c r="B164" s="82" t="str">
        <f t="shared" si="21"/>
        <v>D 2</v>
      </c>
      <c r="C164" s="1" t="str">
        <f t="shared" si="22"/>
        <v>Süd</v>
      </c>
      <c r="D164" s="1" t="str">
        <f t="shared" si="23"/>
        <v>45°</v>
      </c>
      <c r="E164" s="143">
        <f t="shared" ca="1" si="23"/>
        <v>22.648000000000003</v>
      </c>
      <c r="F164" s="1380">
        <v>0.5</v>
      </c>
      <c r="G164" s="740">
        <f t="shared" ca="1" si="18"/>
        <v>7.1341593487149703E-3</v>
      </c>
      <c r="H164" s="94">
        <f t="shared" si="20"/>
        <v>40</v>
      </c>
      <c r="I164" s="110" t="s">
        <v>79</v>
      </c>
      <c r="K164" s="87"/>
      <c r="L164" s="87"/>
      <c r="M164" s="11">
        <f t="shared" ca="1" si="24"/>
        <v>-1.3824309165944844</v>
      </c>
      <c r="N164" s="11">
        <f t="shared" ca="1" si="24"/>
        <v>-1.3029362916570737</v>
      </c>
      <c r="O164" s="11">
        <f t="shared" ca="1" si="24"/>
        <v>2.6446504491372744</v>
      </c>
      <c r="P164" s="11">
        <f t="shared" ca="1" si="24"/>
        <v>7.7943510304485661</v>
      </c>
      <c r="Q164" s="11">
        <f t="shared" ca="1" si="24"/>
        <v>8.2945854995669066</v>
      </c>
      <c r="R164" s="11">
        <f t="shared" ca="1" si="24"/>
        <v>8.376019017795473</v>
      </c>
      <c r="S164" s="11">
        <f t="shared" ca="1" si="24"/>
        <v>6.8520488909465751</v>
      </c>
      <c r="T164" s="11">
        <f t="shared" ca="1" si="24"/>
        <v>6.7919431989207286</v>
      </c>
      <c r="U164" s="11">
        <f t="shared" ca="1" si="24"/>
        <v>4.6533438987752636</v>
      </c>
      <c r="V164" s="11">
        <f t="shared" ca="1" si="24"/>
        <v>2.3441219890080389</v>
      </c>
      <c r="W164" s="11">
        <f t="shared" ca="1" si="24"/>
        <v>-2.0940047544488682</v>
      </c>
      <c r="X164" s="11">
        <f t="shared" ca="1" si="24"/>
        <v>-3.0653902933182047</v>
      </c>
    </row>
    <row r="165" spans="2:24" ht="16.5" customHeight="1" thickBot="1">
      <c r="B165" s="82" t="str">
        <f t="shared" si="21"/>
        <v>D 3</v>
      </c>
      <c r="C165" s="1" t="str">
        <f t="shared" si="22"/>
        <v>Ost</v>
      </c>
      <c r="D165" s="1" t="str">
        <f t="shared" si="23"/>
        <v>45°</v>
      </c>
      <c r="E165" s="143">
        <f t="shared" ca="1" si="23"/>
        <v>0.76140000000000008</v>
      </c>
      <c r="F165" s="1380">
        <v>0.5</v>
      </c>
      <c r="G165" s="740">
        <f t="shared" ca="1" si="18"/>
        <v>7.1341593487149703E-3</v>
      </c>
      <c r="H165" s="94">
        <f t="shared" si="20"/>
        <v>40</v>
      </c>
      <c r="I165" s="110" t="s">
        <v>79</v>
      </c>
      <c r="K165" s="87"/>
      <c r="L165" s="87"/>
      <c r="M165" s="11">
        <f t="shared" ca="1" si="24"/>
        <v>-9.9013565061617848E-2</v>
      </c>
      <c r="N165" s="11">
        <f t="shared" ca="1" si="24"/>
        <v>-7.1180258753974129E-2</v>
      </c>
      <c r="O165" s="11">
        <f t="shared" ca="1" si="24"/>
        <v>2.2227535013832581E-2</v>
      </c>
      <c r="P165" s="11">
        <f t="shared" ca="1" si="24"/>
        <v>0.19750566302613698</v>
      </c>
      <c r="Q165" s="11">
        <f t="shared" ca="1" si="24"/>
        <v>0.23844083014838585</v>
      </c>
      <c r="R165" s="11">
        <f t="shared" ca="1" si="24"/>
        <v>0.26790372113446304</v>
      </c>
      <c r="S165" s="11">
        <f t="shared" ca="1" si="24"/>
        <v>0.23035809014335581</v>
      </c>
      <c r="T165" s="11">
        <f t="shared" ca="1" si="24"/>
        <v>0.16771685510437309</v>
      </c>
      <c r="U165" s="11">
        <f t="shared" ca="1" si="24"/>
        <v>6.8442556494205886E-2</v>
      </c>
      <c r="V165" s="11">
        <f t="shared" ca="1" si="24"/>
        <v>-1.2124110007545043E-2</v>
      </c>
      <c r="W165" s="11">
        <f t="shared" ca="1" si="24"/>
        <v>-0.10168608393424874</v>
      </c>
      <c r="X165" s="11">
        <f t="shared" ca="1" si="24"/>
        <v>-0.12932384008048045</v>
      </c>
    </row>
    <row r="166" spans="2:24" ht="16.5" customHeight="1" thickBot="1">
      <c r="B166" s="82" t="str">
        <f t="shared" si="21"/>
        <v>D 4</v>
      </c>
      <c r="C166" s="1" t="str">
        <f t="shared" si="22"/>
        <v>Ost</v>
      </c>
      <c r="D166" s="1" t="str">
        <f t="shared" si="23"/>
        <v>45°</v>
      </c>
      <c r="E166" s="143">
        <f t="shared" ca="1" si="23"/>
        <v>0.76140000000000008</v>
      </c>
      <c r="F166" s="1380">
        <v>0.5</v>
      </c>
      <c r="G166" s="740">
        <f t="shared" ca="1" si="18"/>
        <v>7.1341593487149703E-3</v>
      </c>
      <c r="H166" s="94">
        <f t="shared" si="20"/>
        <v>40</v>
      </c>
      <c r="I166" s="110" t="s">
        <v>79</v>
      </c>
      <c r="K166" s="87"/>
      <c r="L166" s="87"/>
      <c r="M166" s="11">
        <f t="shared" ca="1" si="24"/>
        <v>-9.9013565061617848E-2</v>
      </c>
      <c r="N166" s="11">
        <f t="shared" ca="1" si="24"/>
        <v>-7.1180258753974129E-2</v>
      </c>
      <c r="O166" s="11">
        <f t="shared" ca="1" si="24"/>
        <v>2.2227535013832581E-2</v>
      </c>
      <c r="P166" s="11">
        <f t="shared" ca="1" si="24"/>
        <v>0.19750566302613698</v>
      </c>
      <c r="Q166" s="11">
        <f t="shared" ca="1" si="24"/>
        <v>0.23844083014838585</v>
      </c>
      <c r="R166" s="11">
        <f t="shared" ca="1" si="24"/>
        <v>0.26790372113446304</v>
      </c>
      <c r="S166" s="11">
        <f t="shared" ca="1" si="24"/>
        <v>0.23035809014335581</v>
      </c>
      <c r="T166" s="11">
        <f t="shared" ca="1" si="24"/>
        <v>0.16771685510437309</v>
      </c>
      <c r="U166" s="11">
        <f t="shared" ca="1" si="24"/>
        <v>6.8442556494205886E-2</v>
      </c>
      <c r="V166" s="11">
        <f t="shared" ca="1" si="24"/>
        <v>-1.2124110007545043E-2</v>
      </c>
      <c r="W166" s="11">
        <f t="shared" ca="1" si="24"/>
        <v>-0.10168608393424874</v>
      </c>
      <c r="X166" s="11">
        <f t="shared" ca="1" si="24"/>
        <v>-0.12932384008048045</v>
      </c>
    </row>
    <row r="167" spans="2:24" ht="16.5" customHeight="1" thickBot="1">
      <c r="B167" s="82" t="str">
        <f t="shared" si="21"/>
        <v>D 5</v>
      </c>
      <c r="C167" s="1">
        <f t="shared" si="22"/>
        <v>0</v>
      </c>
      <c r="D167" s="1">
        <f t="shared" si="23"/>
        <v>0</v>
      </c>
      <c r="E167" s="143">
        <f t="shared" ca="1" si="23"/>
        <v>0</v>
      </c>
      <c r="F167" s="1380">
        <v>0.5</v>
      </c>
      <c r="G167" s="740">
        <f t="shared" ca="1" si="18"/>
        <v>7.1341593487149703E-3</v>
      </c>
      <c r="H167" s="94">
        <f t="shared" si="20"/>
        <v>40</v>
      </c>
      <c r="I167" s="110" t="s">
        <v>79</v>
      </c>
      <c r="K167" s="87"/>
      <c r="L167" s="87"/>
      <c r="M167" s="11" t="str">
        <f t="shared" si="24"/>
        <v/>
      </c>
      <c r="N167" s="11" t="str">
        <f t="shared" si="24"/>
        <v/>
      </c>
      <c r="O167" s="11" t="str">
        <f t="shared" si="24"/>
        <v/>
      </c>
      <c r="P167" s="11" t="str">
        <f t="shared" si="24"/>
        <v/>
      </c>
      <c r="Q167" s="11" t="str">
        <f t="shared" si="24"/>
        <v/>
      </c>
      <c r="R167" s="11" t="str">
        <f t="shared" si="24"/>
        <v/>
      </c>
      <c r="S167" s="11" t="str">
        <f t="shared" si="24"/>
        <v/>
      </c>
      <c r="T167" s="11" t="str">
        <f t="shared" si="24"/>
        <v/>
      </c>
      <c r="U167" s="11" t="str">
        <f t="shared" si="24"/>
        <v/>
      </c>
      <c r="V167" s="11" t="str">
        <f t="shared" si="24"/>
        <v/>
      </c>
      <c r="W167" s="11" t="str">
        <f t="shared" si="24"/>
        <v/>
      </c>
      <c r="X167" s="11" t="str">
        <f t="shared" si="24"/>
        <v/>
      </c>
    </row>
    <row r="168" spans="2:24" ht="16.5" customHeight="1" thickBot="1">
      <c r="B168" s="82" t="str">
        <f t="shared" si="21"/>
        <v>D 6</v>
      </c>
      <c r="C168" s="1">
        <f t="shared" si="22"/>
        <v>0</v>
      </c>
      <c r="D168" s="1">
        <f t="shared" si="23"/>
        <v>0</v>
      </c>
      <c r="E168" s="143">
        <f t="shared" ca="1" si="23"/>
        <v>0</v>
      </c>
      <c r="F168" s="1380">
        <v>0.5</v>
      </c>
      <c r="G168" s="740">
        <f t="shared" si="18"/>
        <v>0</v>
      </c>
      <c r="H168" s="94">
        <f t="shared" si="20"/>
        <v>40</v>
      </c>
      <c r="I168" s="110" t="s">
        <v>79</v>
      </c>
      <c r="K168" s="87"/>
      <c r="L168" s="87"/>
      <c r="M168" s="11" t="str">
        <f t="shared" si="24"/>
        <v/>
      </c>
      <c r="N168" s="11" t="str">
        <f t="shared" si="24"/>
        <v/>
      </c>
      <c r="O168" s="11" t="str">
        <f t="shared" si="24"/>
        <v/>
      </c>
      <c r="P168" s="11" t="str">
        <f t="shared" si="24"/>
        <v/>
      </c>
      <c r="Q168" s="11" t="str">
        <f t="shared" si="24"/>
        <v/>
      </c>
      <c r="R168" s="11" t="str">
        <f t="shared" si="24"/>
        <v/>
      </c>
      <c r="S168" s="11" t="str">
        <f t="shared" si="24"/>
        <v/>
      </c>
      <c r="T168" s="11" t="str">
        <f t="shared" si="24"/>
        <v/>
      </c>
      <c r="U168" s="11" t="str">
        <f t="shared" si="24"/>
        <v/>
      </c>
      <c r="V168" s="11" t="str">
        <f t="shared" si="24"/>
        <v/>
      </c>
      <c r="W168" s="11" t="str">
        <f t="shared" si="24"/>
        <v/>
      </c>
      <c r="X168" s="11" t="str">
        <f t="shared" si="24"/>
        <v/>
      </c>
    </row>
    <row r="169" spans="2:24" ht="16.5" customHeight="1" thickBot="1">
      <c r="B169" s="82" t="str">
        <f t="shared" si="21"/>
        <v>D 7</v>
      </c>
      <c r="C169" s="1">
        <f t="shared" si="22"/>
        <v>0</v>
      </c>
      <c r="D169" s="1">
        <f t="shared" si="23"/>
        <v>0</v>
      </c>
      <c r="E169" s="143">
        <f t="shared" ca="1" si="23"/>
        <v>0</v>
      </c>
      <c r="F169" s="1380">
        <v>0.5</v>
      </c>
      <c r="G169" s="740">
        <f t="shared" si="18"/>
        <v>0</v>
      </c>
      <c r="H169" s="94">
        <f t="shared" si="20"/>
        <v>40</v>
      </c>
      <c r="I169" s="110" t="s">
        <v>79</v>
      </c>
      <c r="K169" s="87"/>
      <c r="L169" s="87"/>
      <c r="M169" s="11" t="str">
        <f t="shared" si="24"/>
        <v/>
      </c>
      <c r="N169" s="11" t="str">
        <f t="shared" si="24"/>
        <v/>
      </c>
      <c r="O169" s="11" t="str">
        <f t="shared" si="24"/>
        <v/>
      </c>
      <c r="P169" s="11" t="str">
        <f t="shared" si="24"/>
        <v/>
      </c>
      <c r="Q169" s="11" t="str">
        <f t="shared" si="24"/>
        <v/>
      </c>
      <c r="R169" s="11" t="str">
        <f t="shared" si="24"/>
        <v/>
      </c>
      <c r="S169" s="11" t="str">
        <f t="shared" si="24"/>
        <v/>
      </c>
      <c r="T169" s="11" t="str">
        <f t="shared" si="24"/>
        <v/>
      </c>
      <c r="U169" s="11" t="str">
        <f t="shared" si="24"/>
        <v/>
      </c>
      <c r="V169" s="11" t="str">
        <f t="shared" si="24"/>
        <v/>
      </c>
      <c r="W169" s="11" t="str">
        <f t="shared" si="24"/>
        <v/>
      </c>
      <c r="X169" s="11" t="str">
        <f t="shared" si="24"/>
        <v/>
      </c>
    </row>
    <row r="170" spans="2:24" ht="16.5" customHeight="1" thickBot="1">
      <c r="B170" s="82" t="str">
        <f t="shared" si="21"/>
        <v>D 8</v>
      </c>
      <c r="C170" s="1">
        <f t="shared" si="22"/>
        <v>0</v>
      </c>
      <c r="D170" s="1">
        <f t="shared" si="23"/>
        <v>0</v>
      </c>
      <c r="E170" s="143">
        <f t="shared" ca="1" si="23"/>
        <v>0</v>
      </c>
      <c r="F170" s="1380">
        <v>0.5</v>
      </c>
      <c r="G170" s="740">
        <f t="shared" si="18"/>
        <v>0</v>
      </c>
      <c r="H170" s="94">
        <f t="shared" si="20"/>
        <v>40</v>
      </c>
      <c r="I170" s="110" t="s">
        <v>79</v>
      </c>
      <c r="K170" s="87"/>
      <c r="L170" s="87"/>
      <c r="M170" s="11" t="str">
        <f t="shared" si="24"/>
        <v/>
      </c>
      <c r="N170" s="11" t="str">
        <f t="shared" si="24"/>
        <v/>
      </c>
      <c r="O170" s="11" t="str">
        <f t="shared" si="24"/>
        <v/>
      </c>
      <c r="P170" s="11" t="str">
        <f t="shared" si="24"/>
        <v/>
      </c>
      <c r="Q170" s="11" t="str">
        <f t="shared" si="24"/>
        <v/>
      </c>
      <c r="R170" s="11" t="str">
        <f t="shared" si="24"/>
        <v/>
      </c>
      <c r="S170" s="11" t="str">
        <f t="shared" si="24"/>
        <v/>
      </c>
      <c r="T170" s="11" t="str">
        <f t="shared" si="24"/>
        <v/>
      </c>
      <c r="U170" s="11" t="str">
        <f t="shared" si="24"/>
        <v/>
      </c>
      <c r="V170" s="11" t="str">
        <f t="shared" si="24"/>
        <v/>
      </c>
      <c r="W170" s="11" t="str">
        <f t="shared" si="24"/>
        <v/>
      </c>
      <c r="X170" s="11" t="str">
        <f t="shared" si="24"/>
        <v/>
      </c>
    </row>
    <row r="171" spans="2:24" ht="16.5" customHeight="1">
      <c r="B171" s="82" t="s">
        <v>144</v>
      </c>
      <c r="E171" s="96"/>
      <c r="F171" s="96"/>
      <c r="G171" s="96"/>
      <c r="H171" s="113" t="s">
        <v>145</v>
      </c>
      <c r="I171" s="110" t="s">
        <v>79</v>
      </c>
      <c r="K171" s="87"/>
      <c r="L171" s="87"/>
      <c r="M171" s="11"/>
      <c r="N171" s="11"/>
      <c r="O171" s="11"/>
      <c r="P171" s="11"/>
      <c r="Q171" s="11"/>
      <c r="R171" s="11"/>
      <c r="S171" s="11"/>
      <c r="T171" s="11"/>
      <c r="U171" s="11"/>
      <c r="V171" s="11"/>
      <c r="W171" s="11"/>
      <c r="X171" s="11"/>
    </row>
    <row r="172" spans="2:24" ht="16.5" customHeight="1">
      <c r="B172" s="93" t="s">
        <v>143</v>
      </c>
      <c r="H172" s="362" t="s">
        <v>1755</v>
      </c>
      <c r="I172" s="114">
        <f ca="1">SUM(M172:X172)</f>
        <v>205.77719196246235</v>
      </c>
      <c r="K172" s="87"/>
      <c r="L172" s="87"/>
      <c r="M172" s="12">
        <f ca="1">SUM(M149:M170)</f>
        <v>-14.336491005930805</v>
      </c>
      <c r="N172" s="12">
        <f t="shared" ref="N172:X172" ca="1" si="25">SUM(N149:N170)</f>
        <v>-10.804455839067986</v>
      </c>
      <c r="O172" s="12">
        <f t="shared" ca="1" si="25"/>
        <v>10.200135976906687</v>
      </c>
      <c r="P172" s="12">
        <f t="shared" ca="1" si="25"/>
        <v>42.263051316476798</v>
      </c>
      <c r="Q172" s="12">
        <f t="shared" ca="1" si="25"/>
        <v>50.671543064729043</v>
      </c>
      <c r="R172" s="12">
        <f t="shared" ca="1" si="25"/>
        <v>54.236682283320249</v>
      </c>
      <c r="S172" s="12">
        <f t="shared" ca="1" si="25"/>
        <v>48.004576642742848</v>
      </c>
      <c r="T172" s="12">
        <f t="shared" ca="1" si="25"/>
        <v>37.068473488174291</v>
      </c>
      <c r="U172" s="12">
        <f t="shared" ca="1" si="25"/>
        <v>21.248742055033631</v>
      </c>
      <c r="V172" s="12">
        <f t="shared" ca="1" si="25"/>
        <v>5.7620383682782945</v>
      </c>
      <c r="W172" s="12">
        <f t="shared" ca="1" si="25"/>
        <v>-16.15680195853038</v>
      </c>
      <c r="X172" s="12">
        <f t="shared" ca="1" si="25"/>
        <v>-22.380302429670316</v>
      </c>
    </row>
    <row r="173" spans="2:24" ht="6.75" customHeight="1">
      <c r="B173" s="93"/>
      <c r="H173" s="362"/>
      <c r="I173" s="114"/>
      <c r="K173" s="87"/>
      <c r="L173" s="87"/>
      <c r="M173" s="12"/>
      <c r="N173" s="12"/>
      <c r="O173" s="12"/>
      <c r="P173" s="12"/>
      <c r="Q173" s="12"/>
      <c r="R173" s="12"/>
      <c r="S173" s="12"/>
      <c r="T173" s="12"/>
      <c r="U173" s="12"/>
      <c r="V173" s="12"/>
      <c r="W173" s="12"/>
      <c r="X173" s="12"/>
    </row>
    <row r="174" spans="2:24" ht="16.5" customHeight="1">
      <c r="B174" s="106" t="s">
        <v>151</v>
      </c>
      <c r="C174" s="90"/>
      <c r="D174" s="90"/>
      <c r="E174" s="90"/>
      <c r="F174" s="90"/>
      <c r="G174" s="90"/>
      <c r="H174" s="90"/>
      <c r="I174" s="91"/>
      <c r="K174" s="87">
        <f>ROW(B175)</f>
        <v>175</v>
      </c>
      <c r="L174" s="87">
        <f>ROW(B177)</f>
        <v>177</v>
      </c>
      <c r="M174" s="8" t="s">
        <v>800</v>
      </c>
    </row>
    <row r="175" spans="2:24" ht="16.5" customHeight="1">
      <c r="B175" s="82" t="s">
        <v>147</v>
      </c>
      <c r="H175" s="3" t="s">
        <v>148</v>
      </c>
      <c r="I175" s="85"/>
      <c r="K175" s="87"/>
      <c r="L175" s="87"/>
      <c r="M175" s="6" t="s">
        <v>116</v>
      </c>
      <c r="N175" s="6" t="s">
        <v>117</v>
      </c>
      <c r="O175" s="6" t="s">
        <v>118</v>
      </c>
      <c r="P175" s="6" t="s">
        <v>119</v>
      </c>
      <c r="Q175" s="6" t="s">
        <v>120</v>
      </c>
      <c r="R175" s="6" t="s">
        <v>121</v>
      </c>
      <c r="S175" s="6" t="s">
        <v>122</v>
      </c>
      <c r="T175" s="6" t="s">
        <v>123</v>
      </c>
      <c r="U175" s="6" t="s">
        <v>124</v>
      </c>
      <c r="V175" s="6" t="s">
        <v>125</v>
      </c>
      <c r="W175" s="6" t="s">
        <v>126</v>
      </c>
      <c r="X175" s="6" t="s">
        <v>127</v>
      </c>
    </row>
    <row r="176" spans="2:24" ht="16.5" customHeight="1">
      <c r="B176" s="93" t="s">
        <v>146</v>
      </c>
      <c r="H176" s="362" t="s">
        <v>1756</v>
      </c>
      <c r="I176" s="114">
        <f ca="1">SUM(M176:X176)</f>
        <v>9362.1698985600015</v>
      </c>
      <c r="K176" s="87"/>
      <c r="L176" s="87"/>
      <c r="M176" s="12">
        <f t="shared" ref="M176:X176" ca="1" si="26">IF($F$9&gt;0,0.024*$F$9*5*M$339,0)</f>
        <v>795.14319686400006</v>
      </c>
      <c r="N176" s="12">
        <f t="shared" ca="1" si="26"/>
        <v>718.19385523200003</v>
      </c>
      <c r="O176" s="12">
        <f t="shared" ca="1" si="26"/>
        <v>795.14319686400006</v>
      </c>
      <c r="P176" s="12">
        <f t="shared" ca="1" si="26"/>
        <v>769.49341632000005</v>
      </c>
      <c r="Q176" s="12">
        <f t="shared" ca="1" si="26"/>
        <v>795.14319686400006</v>
      </c>
      <c r="R176" s="12">
        <f t="shared" ca="1" si="26"/>
        <v>769.49341632000005</v>
      </c>
      <c r="S176" s="12">
        <f t="shared" ca="1" si="26"/>
        <v>795.14319686400006</v>
      </c>
      <c r="T176" s="12">
        <f t="shared" ca="1" si="26"/>
        <v>795.14319686400006</v>
      </c>
      <c r="U176" s="12">
        <f t="shared" ca="1" si="26"/>
        <v>769.49341632000005</v>
      </c>
      <c r="V176" s="12">
        <f t="shared" ca="1" si="26"/>
        <v>795.14319686400006</v>
      </c>
      <c r="W176" s="12">
        <f t="shared" ca="1" si="26"/>
        <v>769.49341632000005</v>
      </c>
      <c r="X176" s="12">
        <f t="shared" ca="1" si="26"/>
        <v>795.14319686400006</v>
      </c>
    </row>
    <row r="177" spans="2:27" ht="6.75" customHeight="1">
      <c r="B177" s="107"/>
      <c r="C177" s="86"/>
      <c r="D177" s="86"/>
      <c r="E177" s="86"/>
      <c r="F177" s="86"/>
      <c r="G177" s="86"/>
      <c r="H177" s="949"/>
      <c r="I177" s="109"/>
      <c r="K177" s="87"/>
      <c r="L177" s="87"/>
      <c r="M177" s="12"/>
      <c r="N177" s="12"/>
      <c r="O177" s="12"/>
      <c r="P177" s="12"/>
      <c r="Q177" s="12"/>
      <c r="R177" s="12"/>
      <c r="S177" s="12"/>
      <c r="T177" s="12"/>
      <c r="U177" s="12"/>
      <c r="V177" s="12"/>
      <c r="W177" s="12"/>
      <c r="X177" s="12"/>
    </row>
    <row r="178" spans="2:27" ht="16.5" customHeight="1">
      <c r="B178" s="89" t="s">
        <v>158</v>
      </c>
      <c r="C178" s="90"/>
      <c r="D178" s="90"/>
      <c r="E178" s="90"/>
      <c r="F178" s="90"/>
      <c r="G178" s="90"/>
      <c r="H178" s="90"/>
      <c r="I178" s="91"/>
      <c r="K178" s="87">
        <f>ROW(B179)</f>
        <v>179</v>
      </c>
      <c r="L178" s="87">
        <f>ROW(B188)</f>
        <v>188</v>
      </c>
    </row>
    <row r="179" spans="2:27" ht="16.5" customHeight="1">
      <c r="B179" s="82"/>
      <c r="F179" s="3" t="s">
        <v>68</v>
      </c>
      <c r="G179" s="1200" t="s">
        <v>154</v>
      </c>
      <c r="H179" s="1202"/>
      <c r="I179" s="1203"/>
      <c r="K179" s="87"/>
      <c r="L179" s="87"/>
    </row>
    <row r="180" spans="2:27" ht="16.5" customHeight="1">
      <c r="B180" s="82" t="s">
        <v>152</v>
      </c>
      <c r="D180" s="1" t="s">
        <v>153</v>
      </c>
      <c r="F180" s="1" t="s">
        <v>1766</v>
      </c>
      <c r="H180" s="3" t="s">
        <v>1771</v>
      </c>
      <c r="I180" s="363" t="str">
        <f>IF($G$179=D180,15,"")</f>
        <v/>
      </c>
      <c r="K180" s="87"/>
      <c r="L180" s="87"/>
      <c r="M180" s="130"/>
      <c r="N180" s="131"/>
      <c r="S180" s="3"/>
    </row>
    <row r="181" spans="2:27" ht="16.5" customHeight="1">
      <c r="B181" s="82"/>
      <c r="D181" s="1" t="s">
        <v>154</v>
      </c>
      <c r="F181" s="1" t="s">
        <v>1766</v>
      </c>
      <c r="H181" s="3" t="s">
        <v>1763</v>
      </c>
      <c r="I181" s="363">
        <f>IF($G$179=D181,50,"")</f>
        <v>50</v>
      </c>
      <c r="K181" s="87"/>
      <c r="L181" s="87"/>
      <c r="M181" s="132"/>
      <c r="N181" s="131"/>
      <c r="S181" s="3"/>
    </row>
    <row r="182" spans="2:27" ht="16.5" customHeight="1">
      <c r="B182" s="82"/>
      <c r="D182" s="1" t="s">
        <v>155</v>
      </c>
      <c r="F182" s="1" t="s">
        <v>1766</v>
      </c>
      <c r="H182" s="3" t="s">
        <v>1764</v>
      </c>
      <c r="I182" s="535">
        <v>60</v>
      </c>
      <c r="K182" s="87"/>
      <c r="L182" s="87"/>
      <c r="M182" s="132"/>
      <c r="N182" s="131"/>
      <c r="S182" s="116"/>
    </row>
    <row r="183" spans="2:27" ht="16.5" customHeight="1">
      <c r="B183" s="82"/>
      <c r="F183" s="1" t="s">
        <v>1767</v>
      </c>
      <c r="H183" s="3" t="s">
        <v>1765</v>
      </c>
      <c r="I183" s="115">
        <f ca="1">VLOOKUP($G$179,D180:I182,6,FALSE)*$F$7</f>
        <v>33398.151749999997</v>
      </c>
      <c r="K183" s="87"/>
      <c r="L183" s="87"/>
      <c r="M183" s="132"/>
      <c r="N183" s="131"/>
    </row>
    <row r="184" spans="2:27" ht="16.5" customHeight="1">
      <c r="B184" s="82" t="s">
        <v>157</v>
      </c>
      <c r="D184" s="1" t="s">
        <v>153</v>
      </c>
      <c r="F184" s="1" t="s">
        <v>1766</v>
      </c>
      <c r="H184" s="3" t="s">
        <v>1770</v>
      </c>
      <c r="I184" s="363" t="str">
        <f>IF($G$179=D184,12,"")</f>
        <v/>
      </c>
      <c r="K184" s="87"/>
      <c r="L184" s="87"/>
      <c r="M184" s="130"/>
      <c r="N184" s="131"/>
      <c r="S184" s="3"/>
    </row>
    <row r="185" spans="2:27" ht="16.5" customHeight="1">
      <c r="B185" s="82"/>
      <c r="D185" s="1" t="s">
        <v>154</v>
      </c>
      <c r="F185" s="1" t="s">
        <v>1766</v>
      </c>
      <c r="H185" s="3" t="s">
        <v>1772</v>
      </c>
      <c r="I185" s="363">
        <f>IF($G$179=D185,18,"")</f>
        <v>18</v>
      </c>
      <c r="K185" s="87"/>
      <c r="L185" s="87"/>
      <c r="M185" s="129"/>
      <c r="N185" s="131"/>
      <c r="S185" s="3"/>
    </row>
    <row r="186" spans="2:27" ht="16.5" customHeight="1">
      <c r="B186" s="82"/>
      <c r="D186" s="1" t="s">
        <v>155</v>
      </c>
      <c r="F186" s="1" t="s">
        <v>1766</v>
      </c>
      <c r="H186" s="3" t="s">
        <v>1768</v>
      </c>
      <c r="I186" s="535">
        <v>20</v>
      </c>
      <c r="K186" s="87"/>
      <c r="L186" s="87"/>
      <c r="N186" s="11"/>
    </row>
    <row r="187" spans="2:27" ht="16.5" customHeight="1">
      <c r="B187" s="82"/>
      <c r="F187" s="1" t="s">
        <v>1767</v>
      </c>
      <c r="H187" s="3" t="s">
        <v>1769</v>
      </c>
      <c r="I187" s="115">
        <f ca="1">VLOOKUP($G$179,D184:I186,6,FALSE)*$F$7</f>
        <v>12023.334629999999</v>
      </c>
      <c r="K187" s="87"/>
      <c r="L187" s="87"/>
      <c r="N187" s="11"/>
    </row>
    <row r="188" spans="2:27" ht="6.75" customHeight="1">
      <c r="B188" s="117"/>
      <c r="C188" s="86"/>
      <c r="D188" s="86"/>
      <c r="E188" s="86"/>
      <c r="F188" s="86"/>
      <c r="G188" s="86"/>
      <c r="H188" s="108"/>
      <c r="I188" s="121"/>
      <c r="K188" s="87"/>
      <c r="L188" s="87"/>
      <c r="N188" s="11"/>
    </row>
    <row r="189" spans="2:27" ht="16.5" customHeight="1">
      <c r="B189" s="89" t="s">
        <v>159</v>
      </c>
      <c r="C189" s="90"/>
      <c r="D189" s="90"/>
      <c r="E189" s="90"/>
      <c r="F189" s="90"/>
      <c r="G189" s="90"/>
      <c r="H189" s="90"/>
      <c r="I189" s="91"/>
      <c r="K189" s="87">
        <f>ROW(B190)</f>
        <v>190</v>
      </c>
      <c r="L189" s="87">
        <f>ROW(B200)</f>
        <v>200</v>
      </c>
      <c r="M189" s="8" t="s">
        <v>799</v>
      </c>
    </row>
    <row r="190" spans="2:27" ht="16.5" customHeight="1">
      <c r="B190" s="82" t="s">
        <v>160</v>
      </c>
      <c r="H190" s="3" t="s">
        <v>1757</v>
      </c>
      <c r="I190" s="115">
        <f ca="1">SUM(M190:X190)</f>
        <v>18376.120947774019</v>
      </c>
      <c r="K190" s="87"/>
      <c r="L190" s="87" t="s">
        <v>313</v>
      </c>
      <c r="M190" s="9">
        <f t="shared" ref="M190:X190" ca="1" si="27">M110+M125</f>
        <v>2971.2765832680102</v>
      </c>
      <c r="N190" s="9">
        <f t="shared" ca="1" si="27"/>
        <v>2549.5470037073896</v>
      </c>
      <c r="O190" s="9">
        <f t="shared" ca="1" si="27"/>
        <v>2360.5141744851417</v>
      </c>
      <c r="P190" s="9">
        <f t="shared" ca="1" si="27"/>
        <v>1565.5113180659409</v>
      </c>
      <c r="Q190" s="9">
        <f t="shared" ca="1" si="27"/>
        <v>808.8475143340695</v>
      </c>
      <c r="R190" s="9">
        <f t="shared" ca="1" si="27"/>
        <v>367.41592158690457</v>
      </c>
      <c r="S190" s="9">
        <f t="shared" ca="1" si="27"/>
        <v>0</v>
      </c>
      <c r="T190" s="9">
        <f t="shared" ca="1" si="27"/>
        <v>66.028368517066653</v>
      </c>
      <c r="U190" s="9">
        <f t="shared" ca="1" si="27"/>
        <v>750.80644846019595</v>
      </c>
      <c r="V190" s="9">
        <f t="shared" ca="1" si="27"/>
        <v>1568.1737522803387</v>
      </c>
      <c r="W190" s="9">
        <f t="shared" ca="1" si="27"/>
        <v>2380.2161876716855</v>
      </c>
      <c r="X190" s="9">
        <f t="shared" ca="1" si="27"/>
        <v>2987.783675397277</v>
      </c>
    </row>
    <row r="191" spans="2:27" ht="16.5" customHeight="1">
      <c r="B191" s="82" t="s">
        <v>161</v>
      </c>
      <c r="H191" s="3" t="s">
        <v>1758</v>
      </c>
      <c r="I191" s="115">
        <f ca="1">SUM(M191:X191)</f>
        <v>17841.565842138785</v>
      </c>
      <c r="K191" s="87"/>
      <c r="L191" s="87" t="s">
        <v>312</v>
      </c>
      <c r="M191" s="9">
        <f ca="1">IF($F$9&gt;0,_xludf.nA($I$187,7,VLOOKUP($G$116,$C$117:$I$121,7,FALSE),VLOOKUP($G$113,$C$114:$I$115,7,FALSE),gAN,$I$107,SUM($I$32:$I$41,$I$55:$I$58,$I$90:$I$91),MONTH((DATEVALUE("1. "&amp;M4))),$M$338:$X$338),0)</f>
        <v>2879.4699982550301</v>
      </c>
      <c r="N191" s="9">
        <f ca="1">IF($F$9&gt;0,_xludf.nA($I$187,7,VLOOKUP($G$116,$C$117:$I$121,7,FALSE),VLOOKUP($G$113,$C$114:$I$115,7,FALSE),gAN,$I$107,SUM($I$32:$I$41,$I$55:$I$58,$I$90:$I$91),MONTH((DATEVALUE("1. "&amp;N4))),$M$338:$X$338),0)</f>
        <v>2472.6311559476057</v>
      </c>
      <c r="O191" s="9">
        <f ca="1">IF($F$9&gt;0,_xludf.nA($I$187,7,VLOOKUP($G$116,$C$117:$I$121,7,FALSE),VLOOKUP($G$113,$C$114:$I$115,7,FALSE),gAN,$I$107,SUM($I$32:$I$41,$I$55:$I$58,$I$90:$I$91),MONTH((DATEVALUE("1. "&amp;O4))),$M$338:$X$338),0)</f>
        <v>2293.6073223024105</v>
      </c>
      <c r="P191" s="9">
        <f ca="1">IF($F$9&gt;0,_xludf.nA($I$187,7,VLOOKUP($G$116,$C$117:$I$121,7,FALSE),VLOOKUP($G$113,$C$114:$I$115,7,FALSE),gAN,$I$107,SUM($I$32:$I$41,$I$55:$I$58,$I$90:$I$91),MONTH((DATEVALUE("1. "&amp;P4))),$M$338:$X$338),0)</f>
        <v>1523.3356274002235</v>
      </c>
      <c r="Q191" s="9">
        <f ca="1">IF($F$9&gt;0,_xludf.nA($I$187,7,VLOOKUP($G$116,$C$117:$I$121,7,FALSE),VLOOKUP($G$113,$C$114:$I$115,7,FALSE),gAN,$I$107,SUM($I$32:$I$41,$I$55:$I$58,$I$90:$I$91),MONTH((DATEVALUE("1. "&amp;Q4))),$M$338:$X$338),0)</f>
        <v>787.0627592243967</v>
      </c>
      <c r="R191" s="9">
        <f ca="1">IF($F$9&gt;0,_xludf.nA($I$187,7,VLOOKUP($G$116,$C$117:$I$121,7,FALSE),VLOOKUP($G$113,$C$114:$I$115,7,FALSE),gAN,$I$107,SUM($I$32:$I$41,$I$55:$I$58,$I$90:$I$91),MONTH((DATEVALUE("1. "&amp;R4))),$M$338:$X$338),0)</f>
        <v>357.52027904202254</v>
      </c>
      <c r="S191" s="9">
        <f ca="1">IF($F$9&gt;0,_xludf.nA($I$187,7,VLOOKUP($G$116,$C$117:$I$121,7,FALSE),VLOOKUP($G$113,$C$114:$I$115,7,FALSE),gAN,$I$107,SUM($I$32:$I$41,$I$55:$I$58,$I$90:$I$91),MONTH((DATEVALUE("1. "&amp;S4))),$M$338:$X$338),0)</f>
        <v>0</v>
      </c>
      <c r="T191" s="9">
        <f ca="1">IF($F$9&gt;0,_xludf.nA($I$187,7,VLOOKUP($G$116,$C$117:$I$121,7,FALSE),VLOOKUP($G$113,$C$114:$I$115,7,FALSE),gAN,$I$107,SUM($I$32:$I$41,$I$55:$I$58,$I$90:$I$91),MONTH((DATEVALUE("1. "&amp;T4))),$M$338:$X$338),0)</f>
        <v>64.250021161173933</v>
      </c>
      <c r="U191" s="9">
        <f ca="1">IF($F$9&gt;0,_xludf.nA($I$187,7,VLOOKUP($G$116,$C$117:$I$121,7,FALSE),VLOOKUP($G$113,$C$114:$I$115,7,FALSE),gAN,$I$107,SUM($I$32:$I$41,$I$55:$I$58,$I$90:$I$91),MONTH((DATEVALUE("1. "&amp;U4))),$M$338:$X$338),0)</f>
        <v>730.58491804239554</v>
      </c>
      <c r="V191" s="9">
        <f ca="1">IF($F$9&gt;0,_xludf.nA($I$187,7,VLOOKUP($G$116,$C$117:$I$121,7,FALSE),VLOOKUP($G$113,$C$114:$I$115,7,FALSE),gAN,$I$107,SUM($I$32:$I$41,$I$55:$I$58,$I$90:$I$91),MONTH((DATEVALUE("1. "&amp;V4))),$M$338:$X$338),0)</f>
        <v>1525.9379933855821</v>
      </c>
      <c r="W191" s="9">
        <f ca="1">IF($F$9&gt;0,_xludf.nA($I$187,7,VLOOKUP($G$116,$C$117:$I$121,7,FALSE),VLOOKUP($G$113,$C$114:$I$115,7,FALSE),gAN,$I$107,SUM($I$32:$I$41,$I$55:$I$58,$I$90:$I$91),MONTH((DATEVALUE("1. "&amp;W4))),$M$338:$X$338),0)</f>
        <v>2311.9542202362118</v>
      </c>
      <c r="X191" s="9">
        <f ca="1">IF($F$9&gt;0,_xludf.nA($I$187,7,VLOOKUP($G$116,$C$117:$I$121,7,FALSE),VLOOKUP($G$113,$C$114:$I$115,7,FALSE),gAN,$I$107,SUM($I$32:$I$41,$I$55:$I$58,$I$90:$I$91),MONTH((DATEVALUE("1. "&amp;X4))),$M$338:$X$338),0)</f>
        <v>2895.2115471417364</v>
      </c>
      <c r="AA191" s="779">
        <f ca="1">I190-I191</f>
        <v>534.55510563523421</v>
      </c>
    </row>
    <row r="192" spans="2:27" ht="16.5" customHeight="1">
      <c r="B192" s="82" t="s">
        <v>2620</v>
      </c>
      <c r="H192" s="3" t="s">
        <v>2621</v>
      </c>
      <c r="I192" s="115">
        <f ca="1">SUM(M192:X192)</f>
        <v>17635.788650176324</v>
      </c>
      <c r="K192" s="87"/>
      <c r="L192" s="87" t="s">
        <v>320</v>
      </c>
      <c r="M192" s="9">
        <f ca="1">M191-M172</f>
        <v>2893.8064892609609</v>
      </c>
      <c r="N192" s="9">
        <f t="shared" ref="N192:X192" ca="1" si="28">N191-N172</f>
        <v>2483.4356117866737</v>
      </c>
      <c r="O192" s="9">
        <f t="shared" ca="1" si="28"/>
        <v>2283.407186325504</v>
      </c>
      <c r="P192" s="9">
        <f t="shared" ca="1" si="28"/>
        <v>1481.0725760837468</v>
      </c>
      <c r="Q192" s="9">
        <f t="shared" ca="1" si="28"/>
        <v>736.39121615966769</v>
      </c>
      <c r="R192" s="9">
        <f t="shared" ca="1" si="28"/>
        <v>303.28359675870229</v>
      </c>
      <c r="S192" s="9">
        <f t="shared" ca="1" si="28"/>
        <v>-48.004576642742848</v>
      </c>
      <c r="T192" s="9">
        <f t="shared" ca="1" si="28"/>
        <v>27.181547672999642</v>
      </c>
      <c r="U192" s="9">
        <f t="shared" ca="1" si="28"/>
        <v>709.33617598736191</v>
      </c>
      <c r="V192" s="9">
        <f t="shared" ca="1" si="28"/>
        <v>1520.1759550173037</v>
      </c>
      <c r="W192" s="9">
        <f t="shared" ca="1" si="28"/>
        <v>2328.111022194742</v>
      </c>
      <c r="X192" s="9">
        <f t="shared" ca="1" si="28"/>
        <v>2917.5918495714068</v>
      </c>
      <c r="AA192" s="779">
        <f ca="1">I191-I192</f>
        <v>205.77719196246107</v>
      </c>
    </row>
    <row r="193" spans="2:27" ht="16.5" customHeight="1">
      <c r="B193" s="82" t="s">
        <v>2371</v>
      </c>
      <c r="H193" s="3" t="s">
        <v>2619</v>
      </c>
      <c r="I193" s="115">
        <f ca="1">SUM(M193:X193)</f>
        <v>16337.0715240672</v>
      </c>
      <c r="K193" s="87"/>
      <c r="L193" s="87" t="s">
        <v>315</v>
      </c>
      <c r="M193" s="9">
        <f ca="1">M144+M176</f>
        <v>1040.7876917976</v>
      </c>
      <c r="N193" s="9">
        <f t="shared" ref="N193:X193" ca="1" si="29">N144+N176</f>
        <v>942.33613844160004</v>
      </c>
      <c r="O193" s="9">
        <f t="shared" ca="1" si="29"/>
        <v>1331.8232846400001</v>
      </c>
      <c r="P193" s="9">
        <f t="shared" ca="1" si="29"/>
        <v>1663.929457056</v>
      </c>
      <c r="Q193" s="9">
        <f t="shared" ca="1" si="29"/>
        <v>1739.1738453480002</v>
      </c>
      <c r="R193" s="9">
        <f t="shared" ca="1" si="29"/>
        <v>1714.2261763680001</v>
      </c>
      <c r="S193" s="9">
        <f t="shared" ca="1" si="29"/>
        <v>1684.2291979680001</v>
      </c>
      <c r="T193" s="9">
        <f t="shared" ca="1" si="29"/>
        <v>1616.2766987688001</v>
      </c>
      <c r="U193" s="9">
        <f t="shared" ca="1" si="29"/>
        <v>1427.4119797200001</v>
      </c>
      <c r="V193" s="9">
        <f t="shared" ca="1" si="29"/>
        <v>1296.0528100344002</v>
      </c>
      <c r="W193" s="9">
        <f t="shared" ca="1" si="29"/>
        <v>956.98424980800007</v>
      </c>
      <c r="X193" s="9">
        <f t="shared" ca="1" si="29"/>
        <v>923.83999411680009</v>
      </c>
      <c r="AA193" s="780"/>
    </row>
    <row r="194" spans="2:27" ht="16.5" customHeight="1">
      <c r="B194" s="82" t="s">
        <v>162</v>
      </c>
      <c r="H194" s="3" t="s">
        <v>2622</v>
      </c>
      <c r="I194" s="110" t="s">
        <v>79</v>
      </c>
      <c r="K194" s="87"/>
      <c r="L194" s="87" t="s">
        <v>311</v>
      </c>
      <c r="M194" s="11">
        <f ca="1">IF((M192)&gt;0,(M193)/(M192),0)</f>
        <v>0.35966043191208791</v>
      </c>
      <c r="N194" s="11">
        <f t="shared" ref="N194:X194" ca="1" si="30">IF((N192)&gt;0,(N193)/(N192),0)</f>
        <v>0.37944858886985566</v>
      </c>
      <c r="O194" s="11">
        <f t="shared" ca="1" si="30"/>
        <v>0.58326140541897475</v>
      </c>
      <c r="P194" s="11">
        <f t="shared" ca="1" si="30"/>
        <v>1.1234624716742536</v>
      </c>
      <c r="Q194" s="11">
        <f t="shared" ca="1" si="30"/>
        <v>2.361752567362108</v>
      </c>
      <c r="R194" s="11">
        <f t="shared" ca="1" si="30"/>
        <v>5.652221863261099</v>
      </c>
      <c r="S194" s="11">
        <f t="shared" ca="1" si="30"/>
        <v>0</v>
      </c>
      <c r="T194" s="11">
        <f t="shared" ca="1" si="30"/>
        <v>59.462276328522044</v>
      </c>
      <c r="U194" s="11">
        <f t="shared" ca="1" si="30"/>
        <v>2.0123208544003992</v>
      </c>
      <c r="V194" s="11">
        <f t="shared" ca="1" si="30"/>
        <v>0.85256762926476337</v>
      </c>
      <c r="W194" s="11">
        <f t="shared" ca="1" si="30"/>
        <v>0.411056105436861</v>
      </c>
      <c r="X194" s="11">
        <f t="shared" ca="1" si="30"/>
        <v>0.31664469937853434</v>
      </c>
      <c r="AA194" s="780"/>
    </row>
    <row r="195" spans="2:27" ht="16.5" customHeight="1">
      <c r="B195" s="82" t="s">
        <v>175</v>
      </c>
      <c r="H195" s="3" t="s">
        <v>1759</v>
      </c>
      <c r="I195" s="398">
        <f ca="1">IF($F$7&gt;0,1+$I$183/(I107+I122)/16,0)</f>
        <v>10.408162529253346</v>
      </c>
      <c r="K195" s="87"/>
      <c r="L195" s="87"/>
      <c r="M195" s="11"/>
      <c r="N195" s="11"/>
      <c r="O195" s="11"/>
      <c r="P195" s="11"/>
      <c r="Q195" s="11"/>
      <c r="R195" s="11"/>
      <c r="S195" s="11"/>
      <c r="T195" s="11"/>
      <c r="U195" s="11"/>
      <c r="V195" s="11"/>
      <c r="W195" s="11"/>
      <c r="X195" s="11"/>
      <c r="AA195" s="780"/>
    </row>
    <row r="196" spans="2:27" ht="16.5" customHeight="1">
      <c r="B196" s="82" t="s">
        <v>163</v>
      </c>
      <c r="H196" s="3" t="s">
        <v>1900</v>
      </c>
      <c r="I196" s="110" t="s">
        <v>79</v>
      </c>
      <c r="K196" s="87"/>
      <c r="L196" s="87" t="s">
        <v>310</v>
      </c>
      <c r="M196" s="11">
        <f t="shared" ref="M196:X196" ca="1" si="31">IF($F$7&lt;=0,0,IF(M194=1,$I$195/($I$195+1),IF(M194=0,0,(1-M194^$I$195)/(1-M194^($I$195+1)))))</f>
        <v>0.99998472178188413</v>
      </c>
      <c r="N196" s="11">
        <f t="shared" ca="1" si="31"/>
        <v>0.99997414526716033</v>
      </c>
      <c r="O196" s="11">
        <f t="shared" ca="1" si="31"/>
        <v>0.99847293515437086</v>
      </c>
      <c r="P196" s="11">
        <f t="shared" ca="1" si="31"/>
        <v>0.85048678074618078</v>
      </c>
      <c r="Q196" s="11">
        <f t="shared" ca="1" si="31"/>
        <v>0.42338254070130604</v>
      </c>
      <c r="R196" s="11">
        <f t="shared" ca="1" si="31"/>
        <v>0.17692157385112395</v>
      </c>
      <c r="S196" s="11">
        <f t="shared" ca="1" si="31"/>
        <v>0</v>
      </c>
      <c r="T196" s="11">
        <f t="shared" ca="1" si="31"/>
        <v>1.6817385101019645E-2</v>
      </c>
      <c r="U196" s="11">
        <f t="shared" ca="1" si="31"/>
        <v>0.49676600517048786</v>
      </c>
      <c r="V196" s="11">
        <f t="shared" ca="1" si="31"/>
        <v>0.96654912503158619</v>
      </c>
      <c r="W196" s="11">
        <f t="shared" ca="1" si="31"/>
        <v>0.99994356988203359</v>
      </c>
      <c r="X196" s="11">
        <f t="shared" ca="1" si="31"/>
        <v>0.99999566966039044</v>
      </c>
      <c r="AA196" s="780"/>
    </row>
    <row r="197" spans="2:27" ht="16.5" customHeight="1">
      <c r="B197" s="82"/>
      <c r="H197" s="3" t="s">
        <v>1901</v>
      </c>
      <c r="I197" s="110"/>
      <c r="K197" s="87"/>
      <c r="L197" s="87"/>
      <c r="M197" s="11"/>
      <c r="N197" s="11"/>
      <c r="O197" s="11"/>
      <c r="P197" s="11"/>
      <c r="Q197" s="11"/>
      <c r="R197" s="11"/>
      <c r="S197" s="11"/>
      <c r="T197" s="11"/>
      <c r="U197" s="11"/>
      <c r="V197" s="11"/>
      <c r="W197" s="11"/>
      <c r="X197" s="11"/>
      <c r="AA197" s="780"/>
    </row>
    <row r="198" spans="2:27" ht="16.5" customHeight="1">
      <c r="B198" s="93" t="s">
        <v>164</v>
      </c>
      <c r="H198" s="3" t="s">
        <v>1899</v>
      </c>
      <c r="I198" s="114">
        <f ca="1">SUM(M198:X198)</f>
        <v>8046.414471189838</v>
      </c>
      <c r="K198" s="87"/>
      <c r="L198" s="87" t="s">
        <v>314</v>
      </c>
      <c r="M198" s="9">
        <f ca="1">MAX(0,M191-M172-M196*(M144+M176))</f>
        <v>1853.0346988447284</v>
      </c>
      <c r="N198" s="9">
        <f t="shared" ref="N198:X198" ca="1" si="32">MAX(0,N191-N172-N196*(N144+N176))</f>
        <v>1541.1238371941781</v>
      </c>
      <c r="O198" s="9">
        <f t="shared" ca="1" si="32"/>
        <v>953.61768220406793</v>
      </c>
      <c r="P198" s="9">
        <f t="shared" ca="1" si="32"/>
        <v>65.922568763448908</v>
      </c>
      <c r="Q198" s="9">
        <f t="shared" ca="1" si="32"/>
        <v>5.5374794971044139E-2</v>
      </c>
      <c r="R198" s="9">
        <f t="shared" ca="1" si="32"/>
        <v>3.6988813576499524E-6</v>
      </c>
      <c r="S198" s="9">
        <f t="shared" ca="1" si="32"/>
        <v>0</v>
      </c>
      <c r="T198" s="9">
        <f t="shared" ca="1" si="32"/>
        <v>7.1054273576010019E-15</v>
      </c>
      <c r="U198" s="9">
        <f t="shared" ca="1" si="32"/>
        <v>0.24642908936004915</v>
      </c>
      <c r="V198" s="9">
        <f t="shared" ca="1" si="32"/>
        <v>267.47724548382575</v>
      </c>
      <c r="W198" s="9">
        <f t="shared" ca="1" si="32"/>
        <v>1371.1807751208505</v>
      </c>
      <c r="X198" s="9">
        <f t="shared" ca="1" si="32"/>
        <v>1993.755855995526</v>
      </c>
      <c r="AA198" s="780"/>
    </row>
    <row r="199" spans="2:27" ht="16.5" customHeight="1">
      <c r="B199" s="93" t="s">
        <v>165</v>
      </c>
      <c r="H199" s="3" t="s">
        <v>1760</v>
      </c>
      <c r="I199" s="114">
        <f ca="1">IF($F$9&gt;0,I198/$F$9,0)</f>
        <v>37.64436638693374</v>
      </c>
      <c r="K199" s="87"/>
      <c r="L199" s="87" t="s">
        <v>384</v>
      </c>
      <c r="M199" s="87" t="s">
        <v>384</v>
      </c>
      <c r="N199" s="87" t="s">
        <v>384</v>
      </c>
      <c r="O199" s="87" t="s">
        <v>384</v>
      </c>
      <c r="P199" s="87" t="s">
        <v>384</v>
      </c>
      <c r="Q199" s="87" t="s">
        <v>384</v>
      </c>
      <c r="R199" s="87" t="s">
        <v>384</v>
      </c>
      <c r="S199" s="87" t="s">
        <v>384</v>
      </c>
      <c r="T199" s="87" t="s">
        <v>384</v>
      </c>
      <c r="U199" s="87" t="s">
        <v>384</v>
      </c>
      <c r="V199" s="87" t="s">
        <v>384</v>
      </c>
      <c r="W199" s="87" t="s">
        <v>384</v>
      </c>
      <c r="X199" s="87" t="s">
        <v>384</v>
      </c>
      <c r="Y199" s="87" t="s">
        <v>384</v>
      </c>
      <c r="AA199" s="780"/>
    </row>
    <row r="200" spans="2:27" ht="6.75" customHeight="1">
      <c r="B200" s="93"/>
      <c r="H200" s="3"/>
      <c r="I200" s="114"/>
      <c r="K200" s="87"/>
      <c r="L200" s="87"/>
      <c r="M200" s="87"/>
      <c r="N200" s="87"/>
      <c r="O200" s="87"/>
      <c r="P200" s="87"/>
      <c r="Q200" s="87"/>
      <c r="R200" s="87"/>
      <c r="S200" s="87"/>
      <c r="T200" s="87"/>
      <c r="U200" s="87"/>
      <c r="V200" s="87"/>
      <c r="W200" s="87"/>
      <c r="X200" s="87"/>
      <c r="Y200" s="87"/>
      <c r="AA200" s="780"/>
    </row>
    <row r="201" spans="2:27" ht="16.5" customHeight="1">
      <c r="B201" s="89" t="s">
        <v>2835</v>
      </c>
      <c r="C201" s="90"/>
      <c r="D201" s="90"/>
      <c r="E201" s="90"/>
      <c r="F201" s="90"/>
      <c r="G201" s="90"/>
      <c r="H201" s="90"/>
      <c r="I201" s="91"/>
      <c r="K201" s="87">
        <f>ROW(B202)</f>
        <v>202</v>
      </c>
      <c r="L201" s="87">
        <f>ROW(B205)</f>
        <v>205</v>
      </c>
      <c r="AA201" s="780"/>
    </row>
    <row r="202" spans="2:27" ht="16.5" customHeight="1">
      <c r="B202" s="82" t="s">
        <v>697</v>
      </c>
      <c r="I202" s="85"/>
      <c r="K202" s="87"/>
      <c r="L202" s="87"/>
      <c r="AA202" s="780"/>
    </row>
    <row r="203" spans="2:27" ht="16.5" customHeight="1">
      <c r="B203" s="112"/>
      <c r="H203" s="3" t="s">
        <v>1761</v>
      </c>
      <c r="I203" s="853">
        <f ca="1">IF(F97&gt;0,I107/F97,0)</f>
        <v>0.25397110674065043</v>
      </c>
      <c r="K203" s="87"/>
      <c r="L203" s="87"/>
      <c r="AA203" s="780"/>
    </row>
    <row r="204" spans="2:27" ht="16.5" customHeight="1">
      <c r="B204" s="82" t="s">
        <v>2895</v>
      </c>
      <c r="I204" s="85"/>
      <c r="K204" s="87"/>
      <c r="L204" s="87"/>
      <c r="AA204" s="780"/>
    </row>
    <row r="205" spans="2:27" ht="16.5" customHeight="1">
      <c r="B205" s="82"/>
      <c r="H205" s="3" t="s">
        <v>2837</v>
      </c>
      <c r="I205" s="854">
        <f ca="1">Referenz!zHT</f>
        <v>0.36105298479331505</v>
      </c>
      <c r="K205" s="87"/>
      <c r="L205" s="87"/>
      <c r="AA205" s="780"/>
    </row>
    <row r="206" spans="2:27" ht="16.5" customHeight="1">
      <c r="B206" s="93" t="s">
        <v>2836</v>
      </c>
      <c r="H206" s="3" t="s">
        <v>696</v>
      </c>
      <c r="I206" s="146" t="str">
        <f ca="1">IF(I203&lt;=I205,"erfüllt","nicht erfüllt")</f>
        <v>erfüllt</v>
      </c>
      <c r="K206" s="87"/>
      <c r="L206" s="87"/>
      <c r="M206" s="129"/>
      <c r="AA206" s="780"/>
    </row>
    <row r="207" spans="2:27" ht="6.75" customHeight="1">
      <c r="B207" s="93"/>
      <c r="H207" s="3"/>
      <c r="I207" s="363"/>
      <c r="K207" s="87"/>
      <c r="L207" s="87"/>
      <c r="M207" s="129"/>
      <c r="AA207" s="780"/>
    </row>
    <row r="208" spans="2:27" ht="16.5" customHeight="1">
      <c r="B208" s="89" t="s">
        <v>2997</v>
      </c>
      <c r="C208" s="90"/>
      <c r="D208" s="90"/>
      <c r="E208" s="90"/>
      <c r="F208" s="90"/>
      <c r="G208" s="90"/>
      <c r="H208" s="90"/>
      <c r="I208" s="91"/>
      <c r="K208" s="87">
        <f>ROW(B209)</f>
        <v>209</v>
      </c>
      <c r="L208" s="87">
        <f>ROW(B223)</f>
        <v>223</v>
      </c>
      <c r="M208" s="129"/>
      <c r="AA208" s="780"/>
    </row>
    <row r="209" spans="2:27" ht="16.5" customHeight="1">
      <c r="B209" s="82" t="s">
        <v>176</v>
      </c>
      <c r="F209" s="3" t="s">
        <v>68</v>
      </c>
      <c r="G209" s="1200" t="s">
        <v>2513</v>
      </c>
      <c r="H209" s="1202"/>
      <c r="I209" s="1203"/>
      <c r="K209" s="87"/>
      <c r="L209" s="87"/>
      <c r="M209" s="724" t="str">
        <f>IF(ge_Art=$C$215,"Hinweis: das Beiblatt 1 der DIN V 4701-10 ist nicht mehr aktuell,","")</f>
        <v/>
      </c>
      <c r="AA209" s="780"/>
    </row>
    <row r="210" spans="2:27" ht="16.5" customHeight="1">
      <c r="B210" s="112"/>
      <c r="C210" s="1" t="s">
        <v>2513</v>
      </c>
      <c r="D210" s="120" t="str">
        <f>IF(ge_Art&lt;&gt;AA214,"- nicht ausgewählt","")</f>
        <v/>
      </c>
      <c r="F210" s="3"/>
      <c r="G210" s="3"/>
      <c r="I210" s="401"/>
      <c r="J210" s="5"/>
      <c r="K210" s="87"/>
      <c r="L210" s="161"/>
      <c r="M210" s="724" t="str">
        <f>IF(ge_Art=$C$215,"was v.a. an den durch EnEV/GEG angepassten Primärenergiefaktoren liegt,","")</f>
        <v/>
      </c>
      <c r="AA210" s="780"/>
    </row>
    <row r="211" spans="2:27" ht="16.5" customHeight="1">
      <c r="B211" s="112"/>
      <c r="C211" s="3" t="s">
        <v>68</v>
      </c>
      <c r="D211" s="1200" t="s">
        <v>184</v>
      </c>
      <c r="E211" s="1202"/>
      <c r="F211" s="1202"/>
      <c r="G211" s="1202"/>
      <c r="H211" s="1202"/>
      <c r="I211" s="1203"/>
      <c r="K211" s="87"/>
      <c r="L211" s="162"/>
      <c r="M211" s="724" t="str">
        <f>IF(ge_Art=$C$215,"die Option ist nur für informelle Berechnungen verwendbar.","")</f>
        <v/>
      </c>
      <c r="O211" s="5"/>
      <c r="AA211" s="780"/>
    </row>
    <row r="212" spans="2:27" ht="16.5" customHeight="1">
      <c r="B212" s="112"/>
      <c r="C212" s="3"/>
      <c r="D212" s="1" t="s">
        <v>196</v>
      </c>
      <c r="H212" s="3" t="s">
        <v>198</v>
      </c>
      <c r="I212" s="114">
        <f ca="1">IF(ge_Art=$C$210,RechAnlageCode(INDEX(Technik!$O$185:$O$196,MATCH($D$211,listTechnikMusteranlageLang,0)),gAN,$I$199,"eP"),"")</f>
        <v>0.67343211338722708</v>
      </c>
      <c r="K212" s="87"/>
      <c r="L212" s="162"/>
      <c r="O212" s="5"/>
      <c r="AA212" s="780"/>
    </row>
    <row r="213" spans="2:27" ht="16.5" customHeight="1">
      <c r="B213" s="112"/>
      <c r="C213" s="1" t="s">
        <v>185</v>
      </c>
      <c r="F213" s="1" t="s">
        <v>1637</v>
      </c>
      <c r="I213" s="945"/>
      <c r="K213" s="87"/>
      <c r="L213" s="162"/>
      <c r="AA213" s="780"/>
    </row>
    <row r="214" spans="2:27" ht="16.5" customHeight="1">
      <c r="B214" s="112"/>
      <c r="D214" s="120" t="str">
        <f>IF(G209=C213,Technik!D9,"- nicht ausgewählt")</f>
        <v>- nicht ausgewählt</v>
      </c>
      <c r="H214" s="3" t="s">
        <v>198</v>
      </c>
      <c r="I214" s="114" t="str">
        <f>IF(C213=G209,Technik!G40,"")</f>
        <v/>
      </c>
      <c r="K214" s="87"/>
      <c r="L214" s="162"/>
      <c r="AA214" s="781" t="str">
        <f>C210</f>
        <v>Musteranlage</v>
      </c>
    </row>
    <row r="215" spans="2:27" ht="16.5" customHeight="1">
      <c r="B215" s="112"/>
      <c r="C215" s="1" t="s">
        <v>200</v>
      </c>
      <c r="G215" s="1" t="s">
        <v>199</v>
      </c>
      <c r="I215" s="85"/>
      <c r="K215" s="87"/>
      <c r="L215" s="162"/>
      <c r="AA215" s="782" t="str">
        <f>C213</f>
        <v>Berechnung gemäß Tabellenverfahren</v>
      </c>
    </row>
    <row r="216" spans="2:27" ht="16.5" customHeight="1" thickBot="1">
      <c r="B216" s="112"/>
      <c r="D216" s="1" t="s">
        <v>196</v>
      </c>
      <c r="H216" s="3" t="s">
        <v>198</v>
      </c>
      <c r="I216" s="536">
        <v>1.07</v>
      </c>
      <c r="K216" s="87"/>
      <c r="L216" s="162"/>
      <c r="AA216" s="783" t="str">
        <f>C215</f>
        <v>Musteranlage aus Beiblatt 1, Eingabe Kennwerte</v>
      </c>
    </row>
    <row r="217" spans="2:27" ht="16.5" customHeight="1" thickBot="1">
      <c r="B217" s="112"/>
      <c r="D217" s="1" t="s">
        <v>1773</v>
      </c>
      <c r="H217" s="3" t="s">
        <v>2936</v>
      </c>
      <c r="I217" s="1070">
        <v>55</v>
      </c>
      <c r="K217" s="87"/>
      <c r="L217" s="162"/>
      <c r="AA217" s="780"/>
    </row>
    <row r="218" spans="2:27" ht="16.5" customHeight="1">
      <c r="B218" s="112"/>
      <c r="D218" s="1" t="s">
        <v>1774</v>
      </c>
      <c r="H218" s="3" t="s">
        <v>2937</v>
      </c>
      <c r="I218" s="1071">
        <v>4</v>
      </c>
      <c r="K218" s="87"/>
      <c r="L218" s="162"/>
      <c r="AA218" s="780"/>
    </row>
    <row r="219" spans="2:27" ht="16.2" customHeight="1">
      <c r="B219" s="93" t="s">
        <v>196</v>
      </c>
      <c r="H219" s="99" t="s">
        <v>197</v>
      </c>
      <c r="I219" s="114">
        <f ca="1">IF(ge_Art=C210,I212,IF(ge_Art=C213,I214,IF(ge_Art=C215,I216,"")))</f>
        <v>0.67343211338722708</v>
      </c>
      <c r="K219" s="87"/>
      <c r="L219" s="162"/>
      <c r="AA219" s="780"/>
    </row>
    <row r="220" spans="2:27" ht="16.5" customHeight="1">
      <c r="B220" s="82" t="s">
        <v>2402</v>
      </c>
      <c r="H220" s="3" t="s">
        <v>2978</v>
      </c>
      <c r="I220" s="115">
        <f ca="1">IF(ge_Art=$C$210,RechAnlageCode(INDEX(Technik!O185:O196,MATCH($D$211,listTechnikMusteranlageLang,0)),gAN,$I$199,"qWEE"),IF(ge_Art=$C$213,IF(gAN&gt;0,Technik!G37/gAN,""),IF(ge_Art=$C$215,ge_qWEE,"")))</f>
        <v>13.954323083440123</v>
      </c>
      <c r="K220" s="87"/>
      <c r="L220" s="162"/>
      <c r="AA220" s="780"/>
    </row>
    <row r="221" spans="2:27" ht="16.5" customHeight="1">
      <c r="B221" s="82" t="s">
        <v>2399</v>
      </c>
      <c r="H221" s="3" t="s">
        <v>2979</v>
      </c>
      <c r="I221" s="115">
        <f ca="1">IF(ge_Art=$C$210,RechAnlageCode(INDEX(Technik!O186:O211,MATCH($D$211,listTechnikMusteranlageLang,0)),gAN,$I$199,"qHEE"),IF(ge_Art=$C$213,IF(gAN&gt;0,Technik!G38/gAN,""),IF(ge_Art=$C$215,ge_qHEE,"")))</f>
        <v>3.8428908696324307</v>
      </c>
      <c r="K221" s="87"/>
      <c r="L221" s="162"/>
      <c r="AA221" s="780"/>
    </row>
    <row r="222" spans="2:27" ht="15.6">
      <c r="B222" s="82" t="s">
        <v>2935</v>
      </c>
      <c r="H222" s="3" t="s">
        <v>2980</v>
      </c>
      <c r="I222" s="929">
        <f ca="1">IF(ge_Art=$C$210,RechAnlageCode(INDEX(Technik!$O$185:$O$196,MATCH($D$211,listTechnikMusteranlageLang,0)),gAN,$I$199,"xCO2"),IF(ge_Art=$C$213,IF(gAN&gt;0,Technik!G41/gAN,""),IF(ge_Art=$C$215,"nicht verfügbar","")))</f>
        <v>10.505857173907268</v>
      </c>
      <c r="K222" s="87"/>
      <c r="L222" s="162"/>
      <c r="AA222" s="780"/>
    </row>
    <row r="223" spans="2:27" ht="6.75" customHeight="1">
      <c r="B223" s="107"/>
      <c r="C223" s="86"/>
      <c r="D223" s="86"/>
      <c r="E223" s="86"/>
      <c r="F223" s="86"/>
      <c r="G223" s="108"/>
      <c r="H223" s="108"/>
      <c r="I223" s="119"/>
      <c r="K223" s="87"/>
      <c r="L223" s="87"/>
      <c r="AA223" s="780"/>
    </row>
    <row r="224" spans="2:27" ht="16.5" customHeight="1">
      <c r="B224" s="89" t="s">
        <v>3481</v>
      </c>
      <c r="C224" s="90"/>
      <c r="D224" s="90"/>
      <c r="E224" s="90"/>
      <c r="F224" s="90"/>
      <c r="G224" s="90"/>
      <c r="H224" s="90"/>
      <c r="I224" s="91"/>
      <c r="K224" s="87">
        <f>ROW(B225)</f>
        <v>225</v>
      </c>
      <c r="L224" s="87">
        <f>ROW(B230)</f>
        <v>230</v>
      </c>
      <c r="AA224" s="934" t="s">
        <v>1767</v>
      </c>
    </row>
    <row r="225" spans="2:40" ht="16.5" customHeight="1">
      <c r="B225" s="82" t="s">
        <v>2367</v>
      </c>
      <c r="H225" s="3" t="s">
        <v>2981</v>
      </c>
      <c r="I225" s="115">
        <f ca="1">Referenz!zQP</f>
        <v>69.964956445596158</v>
      </c>
      <c r="J225" s="5"/>
      <c r="K225" s="87"/>
      <c r="L225" s="87"/>
      <c r="AA225" s="933">
        <f ca="1">I225*gAN</f>
        <v>14954.881488333831</v>
      </c>
    </row>
    <row r="226" spans="2:40" ht="16.5" customHeight="1">
      <c r="B226" s="82" t="s">
        <v>2368</v>
      </c>
      <c r="H226" s="3"/>
      <c r="I226" s="114"/>
      <c r="J226" s="5"/>
      <c r="K226" s="87"/>
      <c r="L226" s="87"/>
      <c r="AA226" s="780"/>
    </row>
    <row r="227" spans="2:40" ht="16.5" customHeight="1">
      <c r="B227" s="82"/>
      <c r="C227" s="1" t="s">
        <v>3411</v>
      </c>
      <c r="H227" s="3" t="s">
        <v>3350</v>
      </c>
      <c r="I227" s="114">
        <f ca="1">0.55*I225</f>
        <v>38.480726045077887</v>
      </c>
      <c r="J227" s="5"/>
      <c r="K227" s="87"/>
      <c r="L227" s="87"/>
      <c r="AA227" s="933">
        <f ca="1">I227*gAN</f>
        <v>8225.1848185836079</v>
      </c>
    </row>
    <row r="228" spans="2:40" ht="16.2" customHeight="1">
      <c r="B228" s="82" t="s">
        <v>694</v>
      </c>
      <c r="H228" s="3" t="s">
        <v>2982</v>
      </c>
      <c r="I228" s="115">
        <f ca="1">IFERROR(I219*(I199+12.5),"")</f>
        <v>33.768826630416221</v>
      </c>
      <c r="K228" s="87"/>
      <c r="L228" s="87"/>
      <c r="AA228" s="933">
        <f ca="1">I228*gAN</f>
        <v>7218.0249358213259</v>
      </c>
      <c r="AB228" s="586"/>
      <c r="AC228" s="587"/>
    </row>
    <row r="229" spans="2:40" ht="16.5" customHeight="1">
      <c r="B229" s="82" t="s">
        <v>3412</v>
      </c>
      <c r="H229" s="3" t="s">
        <v>2940</v>
      </c>
      <c r="I229" s="146" t="str">
        <f ca="1">EnergieEffizienzKlasse(I220+I221)</f>
        <v>A+</v>
      </c>
      <c r="K229" s="87"/>
      <c r="L229" s="87"/>
      <c r="M229" s="946"/>
      <c r="AA229" s="784"/>
      <c r="AB229" s="586"/>
      <c r="AC229" s="587"/>
    </row>
    <row r="230" spans="2:40" ht="16.2" customHeight="1">
      <c r="B230" s="82" t="s">
        <v>2935</v>
      </c>
      <c r="G230" s="3"/>
      <c r="H230" s="3" t="s">
        <v>2980</v>
      </c>
      <c r="I230" s="929">
        <f ca="1">I222</f>
        <v>10.505857173907268</v>
      </c>
      <c r="K230" s="87"/>
      <c r="L230" s="87"/>
      <c r="M230" s="947"/>
      <c r="AA230" s="933">
        <f ca="1">I230*gAN</f>
        <v>2245.607757811079</v>
      </c>
    </row>
    <row r="231" spans="2:40" ht="16.5" customHeight="1">
      <c r="B231" s="93" t="s">
        <v>695</v>
      </c>
      <c r="G231" s="3"/>
      <c r="H231" s="3" t="s">
        <v>2899</v>
      </c>
      <c r="I231" s="363" t="str">
        <f ca="1">IF(zQP&lt;=zQPzul,"erfüllt","nicht erfüllt")</f>
        <v>erfüllt</v>
      </c>
      <c r="K231" s="87"/>
      <c r="L231" s="87"/>
      <c r="AA231" s="780"/>
    </row>
    <row r="232" spans="2:40" ht="6.75" customHeight="1">
      <c r="B232" s="107"/>
      <c r="C232" s="86"/>
      <c r="D232" s="86"/>
      <c r="E232" s="86"/>
      <c r="F232" s="86"/>
      <c r="G232" s="108"/>
      <c r="H232" s="108"/>
      <c r="I232" s="119"/>
      <c r="K232" s="87"/>
      <c r="L232" s="87"/>
      <c r="AA232" s="780"/>
    </row>
    <row r="233" spans="2:40" ht="16.5" customHeight="1">
      <c r="B233" s="89" t="s">
        <v>3482</v>
      </c>
      <c r="C233" s="90"/>
      <c r="D233" s="90"/>
      <c r="E233" s="90"/>
      <c r="F233" s="90"/>
      <c r="G233" s="90"/>
      <c r="H233" s="90"/>
      <c r="I233" s="91"/>
      <c r="K233" s="87">
        <f>ROW(B234)</f>
        <v>234</v>
      </c>
      <c r="L233" s="87">
        <f>ROW(B236)</f>
        <v>236</v>
      </c>
      <c r="AA233" s="780"/>
    </row>
    <row r="234" spans="2:40" ht="16.5" customHeight="1">
      <c r="B234" s="889" t="s">
        <v>2838</v>
      </c>
      <c r="G234" s="3" t="s">
        <v>68</v>
      </c>
      <c r="H234" s="1200" t="s">
        <v>2153</v>
      </c>
      <c r="I234" s="1201"/>
      <c r="K234" s="87"/>
      <c r="L234" s="87"/>
      <c r="AA234" s="784"/>
      <c r="AB234" s="586"/>
      <c r="AC234" s="587"/>
    </row>
    <row r="235" spans="2:40" ht="36" customHeight="1">
      <c r="B235" s="1197" t="str">
        <f>IF(ISERROR(MATCH(H234,C241:C249,0)),"","die Deckung des Wärme- und Kälteenergiebedarfs zu "&amp;CHAR(10))&amp;VLOOKUP(H234,C241:D258,2,FALSE)</f>
        <v>die Deckung des Wärme- und Kälteenergiebedarfs zu 
mindestens 50 % durch Nutzung von Geothermie, Umweltwärme oder Abwärme aus Abwasser mittels Wärmepumpen</v>
      </c>
      <c r="C235" s="1198"/>
      <c r="D235" s="1198"/>
      <c r="E235" s="1198"/>
      <c r="F235" s="1198"/>
      <c r="G235" s="1198"/>
      <c r="H235" s="1198"/>
      <c r="I235" s="1199"/>
      <c r="J235" s="5"/>
      <c r="K235" s="87"/>
      <c r="L235" s="87"/>
      <c r="AA235" s="780"/>
    </row>
    <row r="236" spans="2:40" s="392" customFormat="1" ht="28.95" customHeight="1">
      <c r="B236" s="1194" t="s">
        <v>2941</v>
      </c>
      <c r="C236" s="1195"/>
      <c r="D236" s="1195"/>
      <c r="E236" s="1195"/>
      <c r="F236" s="1195"/>
      <c r="G236" s="1195"/>
      <c r="H236" s="1195"/>
      <c r="I236" s="1196"/>
      <c r="K236" s="78"/>
      <c r="L236" s="78"/>
      <c r="AA236" s="904"/>
      <c r="AB236" s="904"/>
      <c r="AC236" s="905"/>
      <c r="AD236" s="906"/>
      <c r="AE236" s="906"/>
      <c r="AF236" s="906"/>
      <c r="AG236" s="906"/>
      <c r="AH236" s="906"/>
      <c r="AI236" s="906"/>
      <c r="AJ236" s="906"/>
      <c r="AK236" s="906"/>
      <c r="AL236" s="906"/>
      <c r="AM236" s="906"/>
      <c r="AN236" s="906"/>
    </row>
    <row r="237" spans="2:40" ht="16.5" customHeight="1">
      <c r="B237" s="918" t="s">
        <v>3483</v>
      </c>
      <c r="C237" s="90"/>
      <c r="D237" s="90"/>
      <c r="E237" s="90"/>
      <c r="F237" s="90"/>
      <c r="G237" s="90"/>
      <c r="H237" s="90"/>
      <c r="I237" s="91"/>
      <c r="K237" s="87">
        <f>ROW(B238)</f>
        <v>238</v>
      </c>
      <c r="L237" s="87">
        <f>ROW(B258)</f>
        <v>258</v>
      </c>
      <c r="AA237" s="780"/>
    </row>
    <row r="238" spans="2:40" s="907" customFormat="1" ht="16.5" hidden="1" customHeight="1">
      <c r="B238" s="908" t="s">
        <v>2850</v>
      </c>
      <c r="H238" s="909"/>
      <c r="I238" s="910"/>
      <c r="K238" s="911"/>
      <c r="L238" s="911"/>
      <c r="AA238" s="912"/>
      <c r="AB238" s="912"/>
      <c r="AC238" s="912"/>
      <c r="AD238" s="912"/>
      <c r="AE238" s="912"/>
      <c r="AF238" s="912"/>
      <c r="AG238" s="912"/>
      <c r="AH238" s="912"/>
      <c r="AI238" s="912"/>
      <c r="AJ238" s="912"/>
      <c r="AK238" s="912"/>
      <c r="AL238" s="912"/>
      <c r="AM238" s="912"/>
      <c r="AN238" s="912"/>
    </row>
    <row r="239" spans="2:40" s="907" customFormat="1" ht="16.5" hidden="1" customHeight="1">
      <c r="B239" s="913" t="s">
        <v>1094</v>
      </c>
      <c r="C239" s="914" t="s">
        <v>2841</v>
      </c>
      <c r="D239" s="914" t="s">
        <v>2842</v>
      </c>
      <c r="H239" s="909"/>
      <c r="I239" s="910"/>
      <c r="K239" s="911"/>
      <c r="L239" s="911"/>
      <c r="AA239" s="912"/>
      <c r="AB239" s="912"/>
      <c r="AC239" s="912"/>
      <c r="AD239" s="912"/>
      <c r="AE239" s="912"/>
      <c r="AF239" s="912"/>
      <c r="AG239" s="912"/>
      <c r="AH239" s="912"/>
      <c r="AI239" s="912"/>
      <c r="AJ239" s="912"/>
      <c r="AK239" s="912"/>
      <c r="AL239" s="912"/>
      <c r="AM239" s="912"/>
      <c r="AN239" s="912"/>
    </row>
    <row r="240" spans="2:40" s="907" customFormat="1" ht="16.5" hidden="1" customHeight="1">
      <c r="B240" s="915" t="s">
        <v>2839</v>
      </c>
      <c r="H240" s="909"/>
      <c r="I240" s="910"/>
      <c r="K240" s="911"/>
      <c r="L240" s="911"/>
      <c r="AA240" s="912"/>
      <c r="AB240" s="912"/>
      <c r="AC240" s="912"/>
      <c r="AD240" s="912"/>
      <c r="AE240" s="912"/>
      <c r="AF240" s="912"/>
      <c r="AG240" s="912"/>
      <c r="AH240" s="912"/>
      <c r="AI240" s="912"/>
      <c r="AJ240" s="912"/>
      <c r="AK240" s="912"/>
      <c r="AL240" s="912"/>
      <c r="AM240" s="912"/>
      <c r="AN240" s="912"/>
    </row>
    <row r="241" spans="2:40" s="907" customFormat="1" ht="16.5" hidden="1" customHeight="1">
      <c r="B241" s="915"/>
      <c r="C241" s="916" t="s">
        <v>2843</v>
      </c>
      <c r="D241" s="917" t="s">
        <v>2900</v>
      </c>
      <c r="H241" s="909"/>
      <c r="I241" s="910"/>
      <c r="K241" s="911"/>
      <c r="L241" s="911"/>
      <c r="AA241" s="912"/>
      <c r="AB241" s="912"/>
      <c r="AC241" s="912"/>
      <c r="AD241" s="912"/>
      <c r="AE241" s="912"/>
      <c r="AF241" s="912"/>
      <c r="AG241" s="912"/>
      <c r="AH241" s="912"/>
      <c r="AI241" s="912"/>
      <c r="AJ241" s="912"/>
      <c r="AK241" s="912"/>
      <c r="AL241" s="912"/>
      <c r="AM241" s="912"/>
      <c r="AN241" s="912"/>
    </row>
    <row r="242" spans="2:40" s="907" customFormat="1" ht="16.5" hidden="1" customHeight="1">
      <c r="B242" s="915"/>
      <c r="C242" s="916" t="s">
        <v>2844</v>
      </c>
      <c r="D242" s="917" t="s">
        <v>2901</v>
      </c>
      <c r="H242" s="909"/>
      <c r="I242" s="910"/>
      <c r="K242" s="911"/>
      <c r="L242" s="911"/>
      <c r="AA242" s="912"/>
      <c r="AB242" s="912"/>
      <c r="AC242" s="912"/>
      <c r="AD242" s="912"/>
      <c r="AE242" s="912"/>
      <c r="AF242" s="912"/>
      <c r="AG242" s="912"/>
      <c r="AH242" s="912"/>
      <c r="AI242" s="912"/>
      <c r="AJ242" s="912"/>
      <c r="AK242" s="912"/>
      <c r="AL242" s="912"/>
      <c r="AM242" s="912"/>
      <c r="AN242" s="912"/>
    </row>
    <row r="243" spans="2:40" s="907" customFormat="1" ht="16.5" hidden="1" customHeight="1">
      <c r="B243" s="915"/>
      <c r="C243" s="916" t="s">
        <v>2153</v>
      </c>
      <c r="D243" s="917" t="s">
        <v>2902</v>
      </c>
      <c r="H243" s="909"/>
      <c r="I243" s="910"/>
      <c r="K243" s="911"/>
      <c r="L243" s="911"/>
      <c r="AA243" s="912"/>
      <c r="AB243" s="912"/>
      <c r="AC243" s="912"/>
      <c r="AD243" s="912"/>
      <c r="AE243" s="912"/>
      <c r="AF243" s="912"/>
      <c r="AG243" s="912"/>
      <c r="AH243" s="912"/>
      <c r="AI243" s="912"/>
      <c r="AJ243" s="912"/>
      <c r="AK243" s="912"/>
      <c r="AL243" s="912"/>
      <c r="AM243" s="912"/>
      <c r="AN243" s="912"/>
    </row>
    <row r="244" spans="2:40" s="907" customFormat="1" ht="16.5" hidden="1" customHeight="1">
      <c r="B244" s="915"/>
      <c r="C244" s="916" t="s">
        <v>2845</v>
      </c>
      <c r="D244" s="917" t="s">
        <v>2903</v>
      </c>
      <c r="H244" s="909"/>
      <c r="I244" s="910"/>
      <c r="K244" s="911"/>
      <c r="L244" s="911"/>
      <c r="AA244" s="912"/>
      <c r="AB244" s="912"/>
      <c r="AC244" s="912"/>
      <c r="AD244" s="912"/>
      <c r="AE244" s="912"/>
      <c r="AF244" s="912"/>
      <c r="AG244" s="912"/>
      <c r="AH244" s="912"/>
      <c r="AI244" s="912"/>
      <c r="AJ244" s="912"/>
      <c r="AK244" s="912"/>
      <c r="AL244" s="912"/>
      <c r="AM244" s="912"/>
      <c r="AN244" s="912"/>
    </row>
    <row r="245" spans="2:40" s="907" customFormat="1" ht="16.5" hidden="1" customHeight="1">
      <c r="B245" s="915"/>
      <c r="C245" s="916" t="s">
        <v>2846</v>
      </c>
      <c r="D245" s="917" t="s">
        <v>2904</v>
      </c>
      <c r="H245" s="909"/>
      <c r="I245" s="910"/>
      <c r="K245" s="911"/>
      <c r="L245" s="911"/>
      <c r="AA245" s="912"/>
      <c r="AB245" s="912"/>
      <c r="AC245" s="912"/>
      <c r="AD245" s="912"/>
      <c r="AE245" s="912"/>
      <c r="AF245" s="912"/>
      <c r="AG245" s="912"/>
      <c r="AH245" s="912"/>
      <c r="AI245" s="912"/>
      <c r="AJ245" s="912"/>
      <c r="AK245" s="912"/>
      <c r="AL245" s="912"/>
      <c r="AM245" s="912"/>
      <c r="AN245" s="912"/>
    </row>
    <row r="246" spans="2:40" s="907" customFormat="1" ht="16.5" hidden="1" customHeight="1">
      <c r="B246" s="915"/>
      <c r="C246" s="916" t="s">
        <v>2847</v>
      </c>
      <c r="D246" s="917" t="s">
        <v>2905</v>
      </c>
      <c r="H246" s="909"/>
      <c r="I246" s="910"/>
      <c r="K246" s="911"/>
      <c r="L246" s="911"/>
      <c r="AA246" s="912"/>
      <c r="AB246" s="912"/>
      <c r="AC246" s="912"/>
      <c r="AD246" s="912"/>
      <c r="AE246" s="912"/>
      <c r="AF246" s="912"/>
      <c r="AG246" s="912"/>
      <c r="AH246" s="912"/>
      <c r="AI246" s="912"/>
      <c r="AJ246" s="912"/>
      <c r="AK246" s="912"/>
      <c r="AL246" s="912"/>
      <c r="AM246" s="912"/>
      <c r="AN246" s="912"/>
    </row>
    <row r="247" spans="2:40" s="907" customFormat="1" ht="16.5" hidden="1" customHeight="1">
      <c r="B247" s="915"/>
      <c r="C247" s="916" t="s">
        <v>1916</v>
      </c>
      <c r="D247" s="917" t="s">
        <v>2906</v>
      </c>
      <c r="H247" s="909"/>
      <c r="I247" s="910"/>
      <c r="K247" s="911"/>
      <c r="L247" s="911"/>
      <c r="AA247" s="912"/>
      <c r="AB247" s="912"/>
      <c r="AC247" s="912"/>
      <c r="AD247" s="912"/>
      <c r="AE247" s="912"/>
      <c r="AF247" s="912"/>
      <c r="AG247" s="912"/>
      <c r="AH247" s="912"/>
      <c r="AI247" s="912"/>
      <c r="AJ247" s="912"/>
      <c r="AK247" s="912"/>
      <c r="AL247" s="912"/>
      <c r="AM247" s="912"/>
      <c r="AN247" s="912"/>
    </row>
    <row r="248" spans="2:40" s="907" customFormat="1" ht="16.5" hidden="1" customHeight="1">
      <c r="B248" s="915"/>
      <c r="C248" s="916" t="s">
        <v>2848</v>
      </c>
      <c r="D248" s="917" t="s">
        <v>2907</v>
      </c>
      <c r="H248" s="909"/>
      <c r="I248" s="910"/>
      <c r="K248" s="911"/>
      <c r="L248" s="911"/>
      <c r="AA248" s="912"/>
      <c r="AB248" s="912"/>
      <c r="AC248" s="912"/>
      <c r="AD248" s="912"/>
      <c r="AE248" s="912"/>
      <c r="AF248" s="912"/>
      <c r="AG248" s="912"/>
      <c r="AH248" s="912"/>
      <c r="AI248" s="912"/>
      <c r="AJ248" s="912"/>
      <c r="AK248" s="912"/>
      <c r="AL248" s="912"/>
      <c r="AM248" s="912"/>
      <c r="AN248" s="912"/>
    </row>
    <row r="249" spans="2:40" s="907" customFormat="1" ht="16.5" hidden="1" customHeight="1">
      <c r="B249" s="915"/>
      <c r="C249" s="916" t="s">
        <v>2849</v>
      </c>
      <c r="D249" s="917" t="s">
        <v>2908</v>
      </c>
      <c r="H249" s="909"/>
      <c r="I249" s="910"/>
      <c r="K249" s="911"/>
      <c r="L249" s="911"/>
      <c r="AA249" s="912"/>
      <c r="AB249" s="912"/>
      <c r="AC249" s="912"/>
      <c r="AD249" s="912"/>
      <c r="AE249" s="912"/>
      <c r="AF249" s="912"/>
      <c r="AG249" s="912"/>
      <c r="AH249" s="912"/>
      <c r="AI249" s="912"/>
      <c r="AJ249" s="912"/>
      <c r="AK249" s="912"/>
      <c r="AL249" s="912"/>
      <c r="AM249" s="912"/>
      <c r="AN249" s="912"/>
    </row>
    <row r="250" spans="2:40" s="907" customFormat="1" ht="16.5" hidden="1" customHeight="1">
      <c r="B250" s="915" t="s">
        <v>2840</v>
      </c>
      <c r="H250" s="909"/>
      <c r="I250" s="910"/>
      <c r="K250" s="911"/>
      <c r="L250" s="911"/>
      <c r="AA250" s="912"/>
      <c r="AB250" s="912"/>
      <c r="AC250" s="912"/>
      <c r="AD250" s="912"/>
      <c r="AE250" s="912"/>
      <c r="AF250" s="912"/>
      <c r="AG250" s="912"/>
      <c r="AH250" s="912"/>
      <c r="AI250" s="912"/>
      <c r="AJ250" s="912"/>
      <c r="AK250" s="912"/>
      <c r="AL250" s="912"/>
      <c r="AM250" s="912"/>
      <c r="AN250" s="912"/>
    </row>
    <row r="251" spans="2:40" s="907" customFormat="1" ht="16.5" hidden="1" customHeight="1">
      <c r="B251" s="915"/>
      <c r="C251" s="916" t="s">
        <v>2909</v>
      </c>
      <c r="D251" s="917" t="s">
        <v>2910</v>
      </c>
      <c r="H251" s="909"/>
      <c r="I251" s="910"/>
      <c r="K251" s="911"/>
      <c r="L251" s="911"/>
      <c r="AA251" s="912"/>
      <c r="AB251" s="912"/>
      <c r="AC251" s="912"/>
      <c r="AD251" s="912"/>
      <c r="AE251" s="912"/>
      <c r="AF251" s="912"/>
      <c r="AG251" s="912"/>
      <c r="AH251" s="912"/>
      <c r="AI251" s="912"/>
      <c r="AJ251" s="912"/>
      <c r="AK251" s="912"/>
      <c r="AL251" s="912"/>
      <c r="AM251" s="912"/>
      <c r="AN251" s="912"/>
    </row>
    <row r="252" spans="2:40" s="907" customFormat="1" ht="16.5" hidden="1" customHeight="1">
      <c r="B252" s="915"/>
      <c r="C252" s="916" t="s">
        <v>2911</v>
      </c>
      <c r="D252" s="917" t="s">
        <v>2912</v>
      </c>
      <c r="H252" s="909"/>
      <c r="I252" s="910"/>
      <c r="K252" s="911"/>
      <c r="L252" s="911"/>
      <c r="AA252" s="912"/>
      <c r="AB252" s="912"/>
      <c r="AC252" s="912"/>
      <c r="AD252" s="912"/>
      <c r="AE252" s="912"/>
      <c r="AF252" s="912"/>
      <c r="AG252" s="912"/>
      <c r="AH252" s="912"/>
      <c r="AI252" s="912"/>
      <c r="AJ252" s="912"/>
      <c r="AK252" s="912"/>
      <c r="AL252" s="912"/>
      <c r="AM252" s="912"/>
      <c r="AN252" s="912"/>
    </row>
    <row r="253" spans="2:40" s="907" customFormat="1" ht="16.5" hidden="1" customHeight="1">
      <c r="B253" s="915"/>
      <c r="C253" s="916" t="s">
        <v>2913</v>
      </c>
      <c r="D253" s="917" t="s">
        <v>2914</v>
      </c>
      <c r="H253" s="909"/>
      <c r="I253" s="910"/>
      <c r="K253" s="911"/>
      <c r="L253" s="911"/>
      <c r="AA253" s="912"/>
      <c r="AB253" s="912"/>
      <c r="AC253" s="912"/>
      <c r="AD253" s="912"/>
      <c r="AE253" s="912"/>
      <c r="AF253" s="912"/>
      <c r="AG253" s="912"/>
      <c r="AH253" s="912"/>
      <c r="AI253" s="912"/>
      <c r="AJ253" s="912"/>
      <c r="AK253" s="912"/>
      <c r="AL253" s="912"/>
      <c r="AM253" s="912"/>
      <c r="AN253" s="912"/>
    </row>
    <row r="254" spans="2:40" s="907" customFormat="1" ht="16.5" hidden="1" customHeight="1">
      <c r="B254" s="915"/>
      <c r="C254" s="916" t="s">
        <v>2915</v>
      </c>
      <c r="D254" s="917" t="s">
        <v>2916</v>
      </c>
      <c r="H254" s="909"/>
      <c r="I254" s="910"/>
      <c r="K254" s="911"/>
      <c r="L254" s="911"/>
      <c r="AA254" s="912"/>
      <c r="AB254" s="912"/>
      <c r="AC254" s="912"/>
      <c r="AD254" s="912"/>
      <c r="AE254" s="912"/>
      <c r="AF254" s="912"/>
      <c r="AG254" s="912"/>
      <c r="AH254" s="912"/>
      <c r="AI254" s="912"/>
      <c r="AJ254" s="912"/>
      <c r="AK254" s="912"/>
      <c r="AL254" s="912"/>
      <c r="AM254" s="912"/>
      <c r="AN254" s="912"/>
    </row>
    <row r="255" spans="2:40" s="907" customFormat="1" ht="16.5" hidden="1" customHeight="1">
      <c r="B255" s="915"/>
      <c r="C255" s="916" t="s">
        <v>2851</v>
      </c>
      <c r="D255" s="917" t="s">
        <v>2917</v>
      </c>
      <c r="H255" s="909"/>
      <c r="I255" s="910"/>
      <c r="K255" s="911"/>
      <c r="L255" s="911"/>
      <c r="AA255" s="912"/>
      <c r="AB255" s="912"/>
      <c r="AC255" s="912"/>
      <c r="AD255" s="912"/>
      <c r="AE255" s="912"/>
      <c r="AF255" s="912"/>
      <c r="AG255" s="912"/>
      <c r="AH255" s="912"/>
      <c r="AI255" s="912"/>
      <c r="AJ255" s="912"/>
      <c r="AK255" s="912"/>
      <c r="AL255" s="912"/>
      <c r="AM255" s="912"/>
      <c r="AN255" s="912"/>
    </row>
    <row r="256" spans="2:40" s="907" customFormat="1" ht="16.5" hidden="1" customHeight="1">
      <c r="B256" s="915"/>
      <c r="C256" s="916" t="s">
        <v>2852</v>
      </c>
      <c r="D256" s="917" t="s">
        <v>2918</v>
      </c>
      <c r="H256" s="909"/>
      <c r="I256" s="910"/>
      <c r="K256" s="911"/>
      <c r="L256" s="911"/>
      <c r="AA256" s="912"/>
      <c r="AB256" s="912"/>
      <c r="AC256" s="912"/>
      <c r="AD256" s="912"/>
      <c r="AE256" s="912"/>
      <c r="AF256" s="912"/>
      <c r="AG256" s="912"/>
      <c r="AH256" s="912"/>
      <c r="AI256" s="912"/>
      <c r="AJ256" s="912"/>
      <c r="AK256" s="912"/>
      <c r="AL256" s="912"/>
      <c r="AM256" s="912"/>
      <c r="AN256" s="912"/>
    </row>
    <row r="257" spans="2:40" s="907" customFormat="1" ht="16.5" hidden="1" customHeight="1">
      <c r="B257" s="915"/>
      <c r="C257" s="916" t="s">
        <v>2853</v>
      </c>
      <c r="D257" s="917" t="s">
        <v>2919</v>
      </c>
      <c r="H257" s="909"/>
      <c r="I257" s="910"/>
      <c r="K257" s="911"/>
      <c r="L257" s="911"/>
      <c r="AA257" s="912"/>
      <c r="AB257" s="912"/>
      <c r="AC257" s="912"/>
      <c r="AD257" s="912"/>
      <c r="AE257" s="912"/>
      <c r="AF257" s="912"/>
      <c r="AG257" s="912"/>
      <c r="AH257" s="912"/>
      <c r="AI257" s="912"/>
      <c r="AJ257" s="912"/>
      <c r="AK257" s="912"/>
      <c r="AL257" s="912"/>
      <c r="AM257" s="912"/>
      <c r="AN257" s="912"/>
    </row>
    <row r="258" spans="2:40" s="919" customFormat="1" ht="16.95" hidden="1" customHeight="1">
      <c r="B258" s="920"/>
      <c r="C258" s="921" t="s">
        <v>2854</v>
      </c>
      <c r="D258" s="922" t="s">
        <v>2920</v>
      </c>
      <c r="H258" s="923"/>
      <c r="I258" s="924"/>
      <c r="K258" s="925"/>
      <c r="L258" s="925"/>
      <c r="AA258" s="926"/>
      <c r="AB258" s="926"/>
      <c r="AC258" s="926"/>
      <c r="AD258" s="926"/>
      <c r="AE258" s="926"/>
      <c r="AF258" s="926"/>
      <c r="AG258" s="926"/>
      <c r="AH258" s="926"/>
      <c r="AI258" s="926"/>
      <c r="AJ258" s="926"/>
      <c r="AK258" s="926"/>
      <c r="AL258" s="926"/>
      <c r="AM258" s="926"/>
      <c r="AN258" s="926"/>
    </row>
    <row r="259" spans="2:40" ht="16.5" customHeight="1">
      <c r="B259" s="80"/>
      <c r="C259" s="80"/>
      <c r="D259" s="80"/>
      <c r="E259" s="80"/>
      <c r="F259" s="80"/>
      <c r="G259" s="80"/>
      <c r="H259" s="707"/>
      <c r="I259" s="708"/>
      <c r="K259" s="87"/>
      <c r="L259" s="87"/>
      <c r="M259" s="87"/>
      <c r="N259" s="87"/>
      <c r="O259" s="87"/>
      <c r="P259" s="87"/>
      <c r="Q259" s="87"/>
      <c r="R259" s="87"/>
      <c r="S259" s="87"/>
      <c r="T259" s="87"/>
      <c r="U259" s="87"/>
      <c r="V259" s="87"/>
      <c r="W259" s="87"/>
      <c r="X259" s="87"/>
      <c r="AA259" s="780"/>
    </row>
    <row r="260" spans="2:40" ht="16.5" customHeight="1">
      <c r="B260" s="89" t="s">
        <v>3484</v>
      </c>
      <c r="C260" s="90"/>
      <c r="D260" s="90"/>
      <c r="E260" s="90"/>
      <c r="F260" s="90"/>
      <c r="G260" s="90"/>
      <c r="H260" s="90"/>
      <c r="I260" s="91"/>
      <c r="K260" s="87">
        <f>ROW(B261)</f>
        <v>261</v>
      </c>
      <c r="L260" s="87">
        <f>ROW(B271)</f>
        <v>271</v>
      </c>
      <c r="M260" s="8" t="s">
        <v>1825</v>
      </c>
      <c r="AA260" s="780"/>
    </row>
    <row r="261" spans="2:40" ht="16.5" hidden="1" customHeight="1">
      <c r="B261" s="82" t="s">
        <v>385</v>
      </c>
      <c r="H261" s="3" t="s">
        <v>2983</v>
      </c>
      <c r="I261" s="115">
        <f ca="1">SUM(M261:X261)</f>
        <v>9513.7422603700415</v>
      </c>
      <c r="K261" s="87"/>
      <c r="L261" s="775" t="s">
        <v>386</v>
      </c>
      <c r="M261" s="9">
        <f t="shared" ref="M261:X261" ca="1" si="33">IF(M190&gt;0,M110*M191/M190,0)</f>
        <v>1535.4333611888048</v>
      </c>
      <c r="N261" s="9">
        <f t="shared" ca="1" si="33"/>
        <v>1318.492767438981</v>
      </c>
      <c r="O261" s="9">
        <f t="shared" ca="1" si="33"/>
        <v>1223.0310446937099</v>
      </c>
      <c r="P261" s="9">
        <f t="shared" ca="1" si="33"/>
        <v>812.29543770736041</v>
      </c>
      <c r="Q261" s="9">
        <f t="shared" ca="1" si="33"/>
        <v>419.6891853691115</v>
      </c>
      <c r="R261" s="9">
        <f t="shared" ca="1" si="33"/>
        <v>190.6422237687203</v>
      </c>
      <c r="S261" s="9">
        <f t="shared" ca="1" si="33"/>
        <v>0</v>
      </c>
      <c r="T261" s="9">
        <f t="shared" ca="1" si="33"/>
        <v>34.260341662783915</v>
      </c>
      <c r="U261" s="9">
        <f t="shared" ca="1" si="33"/>
        <v>389.57323987521193</v>
      </c>
      <c r="V261" s="9">
        <f t="shared" ca="1" si="33"/>
        <v>813.68310958946518</v>
      </c>
      <c r="W261" s="9">
        <f t="shared" ca="1" si="33"/>
        <v>1232.8142475674874</v>
      </c>
      <c r="X261" s="9">
        <f t="shared" ca="1" si="33"/>
        <v>1543.8273015084055</v>
      </c>
      <c r="AA261" s="780" t="s">
        <v>2628</v>
      </c>
    </row>
    <row r="262" spans="2:40" ht="16.5" hidden="1" customHeight="1">
      <c r="B262" s="82" t="s">
        <v>388</v>
      </c>
      <c r="H262" s="3" t="s">
        <v>2984</v>
      </c>
      <c r="I262" s="115">
        <f ca="1">SUM(M262:X262)</f>
        <v>8327.8235817687473</v>
      </c>
      <c r="K262" s="87"/>
      <c r="L262" s="775" t="s">
        <v>387</v>
      </c>
      <c r="M262" s="9">
        <f t="shared" ref="M262:X262" ca="1" si="34">IF(M190&gt;0,M125*M191/M190,0)</f>
        <v>1344.0366370662252</v>
      </c>
      <c r="N262" s="9">
        <f t="shared" ca="1" si="34"/>
        <v>1154.1383885086248</v>
      </c>
      <c r="O262" s="9">
        <f t="shared" ca="1" si="34"/>
        <v>1070.5762776087004</v>
      </c>
      <c r="P262" s="9">
        <f t="shared" ca="1" si="34"/>
        <v>711.04018969286301</v>
      </c>
      <c r="Q262" s="9">
        <f t="shared" ca="1" si="34"/>
        <v>367.37357385528526</v>
      </c>
      <c r="R262" s="9">
        <f t="shared" ca="1" si="34"/>
        <v>166.87805527330227</v>
      </c>
      <c r="S262" s="9">
        <f t="shared" ca="1" si="34"/>
        <v>0</v>
      </c>
      <c r="T262" s="9">
        <f t="shared" ca="1" si="34"/>
        <v>29.989679498390021</v>
      </c>
      <c r="U262" s="9">
        <f t="shared" ca="1" si="34"/>
        <v>341.01167816718362</v>
      </c>
      <c r="V262" s="9">
        <f t="shared" ca="1" si="34"/>
        <v>712.25488379611693</v>
      </c>
      <c r="W262" s="9">
        <f t="shared" ca="1" si="34"/>
        <v>1079.1399726687246</v>
      </c>
      <c r="X262" s="9">
        <f t="shared" ca="1" si="34"/>
        <v>1351.3842456333311</v>
      </c>
      <c r="AA262" s="780">
        <f ca="1">I263+I198</f>
        <v>17683.793226819067</v>
      </c>
    </row>
    <row r="263" spans="2:40" ht="16.5" hidden="1" customHeight="1">
      <c r="B263" s="82" t="s">
        <v>322</v>
      </c>
      <c r="H263" s="3" t="s">
        <v>2985</v>
      </c>
      <c r="I263" s="115">
        <f ca="1">SUM(M263:X263)</f>
        <v>9637.37875562923</v>
      </c>
      <c r="K263" s="87"/>
      <c r="L263" s="775" t="s">
        <v>321</v>
      </c>
      <c r="M263" s="9">
        <f t="shared" ref="M263:X263" ca="1" si="35">M196*(M144+M176)</f>
        <v>1040.7717904162325</v>
      </c>
      <c r="N263" s="9">
        <f t="shared" ca="1" si="35"/>
        <v>942.31177459249545</v>
      </c>
      <c r="O263" s="9">
        <f t="shared" ca="1" si="35"/>
        <v>1329.789504121436</v>
      </c>
      <c r="P263" s="9">
        <f t="shared" ca="1" si="35"/>
        <v>1415.1500073202978</v>
      </c>
      <c r="Q263" s="9">
        <f t="shared" ca="1" si="35"/>
        <v>736.33584136469665</v>
      </c>
      <c r="R263" s="9">
        <f t="shared" ca="1" si="35"/>
        <v>303.28359305982093</v>
      </c>
      <c r="S263" s="9">
        <f t="shared" ca="1" si="35"/>
        <v>0</v>
      </c>
      <c r="T263" s="9">
        <f t="shared" ca="1" si="35"/>
        <v>27.181547672999635</v>
      </c>
      <c r="U263" s="9">
        <f t="shared" ca="1" si="35"/>
        <v>709.08974689800186</v>
      </c>
      <c r="V263" s="9">
        <f t="shared" ca="1" si="35"/>
        <v>1252.698709533478</v>
      </c>
      <c r="W263" s="9">
        <f t="shared" ca="1" si="35"/>
        <v>956.93024707389145</v>
      </c>
      <c r="X263" s="9">
        <f t="shared" ca="1" si="35"/>
        <v>923.83599357588071</v>
      </c>
      <c r="AA263" s="780" t="s">
        <v>365</v>
      </c>
    </row>
    <row r="264" spans="2:40" ht="16.5" hidden="1" customHeight="1">
      <c r="B264" s="82" t="s">
        <v>392</v>
      </c>
      <c r="H264" s="3" t="s">
        <v>2986</v>
      </c>
      <c r="I264" s="115">
        <f t="shared" ref="I264:I270" ca="1" si="36">SUM(M264:X264)</f>
        <v>3474.144639003649</v>
      </c>
      <c r="K264" s="87"/>
      <c r="L264" s="775" t="s">
        <v>394</v>
      </c>
      <c r="M264" s="9">
        <f t="shared" ref="M264:X264" ca="1" si="37">M196*(M144)</f>
        <v>245.6407419234275</v>
      </c>
      <c r="N264" s="9">
        <f t="shared" ca="1" si="37"/>
        <v>224.13648807074958</v>
      </c>
      <c r="O264" s="9">
        <f t="shared" ca="1" si="37"/>
        <v>535.86054248060816</v>
      </c>
      <c r="P264" s="9">
        <f t="shared" ca="1" si="37"/>
        <v>760.7060288689205</v>
      </c>
      <c r="Q264" s="9">
        <f t="shared" ca="1" si="37"/>
        <v>399.68609445505746</v>
      </c>
      <c r="R264" s="9">
        <f t="shared" ca="1" si="37"/>
        <v>167.1436067764084</v>
      </c>
      <c r="S264" s="9">
        <f t="shared" ca="1" si="37"/>
        <v>0</v>
      </c>
      <c r="T264" s="9">
        <f t="shared" ca="1" si="37"/>
        <v>13.80931832088187</v>
      </c>
      <c r="U264" s="9">
        <f t="shared" ca="1" si="37"/>
        <v>326.8315764677244</v>
      </c>
      <c r="V264" s="9">
        <f t="shared" ca="1" si="37"/>
        <v>484.1537483297605</v>
      </c>
      <c r="W264" s="9">
        <f t="shared" ca="1" si="37"/>
        <v>187.4802533581487</v>
      </c>
      <c r="X264" s="9">
        <f t="shared" ca="1" si="37"/>
        <v>128.69623995196125</v>
      </c>
      <c r="AA264" s="780">
        <f ca="1">I261+I262-SUM(I268:I270)</f>
        <v>17683.793226819071</v>
      </c>
    </row>
    <row r="265" spans="2:40" ht="16.5" hidden="1" customHeight="1">
      <c r="B265" s="82" t="s">
        <v>393</v>
      </c>
      <c r="H265" s="3" t="s">
        <v>2987</v>
      </c>
      <c r="I265" s="115">
        <f t="shared" ca="1" si="36"/>
        <v>6163.2341166255819</v>
      </c>
      <c r="K265" s="87"/>
      <c r="L265" s="775" t="s">
        <v>395</v>
      </c>
      <c r="M265" s="9">
        <f t="shared" ref="M265:X265" ca="1" si="38">M196*(M176)</f>
        <v>795.13104849280501</v>
      </c>
      <c r="N265" s="9">
        <f t="shared" ca="1" si="38"/>
        <v>718.17528652174587</v>
      </c>
      <c r="O265" s="9">
        <f t="shared" ca="1" si="38"/>
        <v>793.92896164082788</v>
      </c>
      <c r="P265" s="9">
        <f t="shared" ca="1" si="38"/>
        <v>654.44397845137746</v>
      </c>
      <c r="Q265" s="9">
        <f t="shared" ca="1" si="38"/>
        <v>336.64974690963913</v>
      </c>
      <c r="R265" s="9">
        <f t="shared" ca="1" si="38"/>
        <v>136.13998628341255</v>
      </c>
      <c r="S265" s="9">
        <f t="shared" ca="1" si="38"/>
        <v>0</v>
      </c>
      <c r="T265" s="9">
        <f t="shared" ca="1" si="38"/>
        <v>13.372229352117765</v>
      </c>
      <c r="U265" s="9">
        <f t="shared" ca="1" si="38"/>
        <v>382.25817043027752</v>
      </c>
      <c r="V265" s="9">
        <f t="shared" ca="1" si="38"/>
        <v>768.54496120371755</v>
      </c>
      <c r="W265" s="9">
        <f t="shared" ca="1" si="38"/>
        <v>769.44999371574272</v>
      </c>
      <c r="X265" s="9">
        <f t="shared" ca="1" si="38"/>
        <v>795.13975362391943</v>
      </c>
      <c r="AA265" s="780"/>
    </row>
    <row r="266" spans="2:40" ht="16.5" hidden="1" customHeight="1">
      <c r="B266" s="82" t="s">
        <v>396</v>
      </c>
      <c r="H266" s="3" t="s">
        <v>2988</v>
      </c>
      <c r="I266" s="115">
        <f t="shared" ca="1" si="36"/>
        <v>3474.144639003649</v>
      </c>
      <c r="K266" s="87"/>
      <c r="L266" s="775" t="s">
        <v>398</v>
      </c>
      <c r="M266" s="9">
        <f t="shared" ref="M266:X266" ca="1" si="39">M196*(SUM(M141:M142)+SUM(M131:M136))</f>
        <v>245.6407419234275</v>
      </c>
      <c r="N266" s="9">
        <f t="shared" ca="1" si="39"/>
        <v>224.13648807074958</v>
      </c>
      <c r="O266" s="9">
        <f t="shared" ca="1" si="39"/>
        <v>535.86054248060816</v>
      </c>
      <c r="P266" s="9">
        <f t="shared" ca="1" si="39"/>
        <v>760.7060288689205</v>
      </c>
      <c r="Q266" s="9">
        <f t="shared" ca="1" si="39"/>
        <v>399.68609445505746</v>
      </c>
      <c r="R266" s="9">
        <f t="shared" ca="1" si="39"/>
        <v>167.1436067764084</v>
      </c>
      <c r="S266" s="9">
        <f t="shared" ca="1" si="39"/>
        <v>0</v>
      </c>
      <c r="T266" s="9">
        <f t="shared" ca="1" si="39"/>
        <v>13.80931832088187</v>
      </c>
      <c r="U266" s="9">
        <f t="shared" ca="1" si="39"/>
        <v>326.8315764677244</v>
      </c>
      <c r="V266" s="9">
        <f t="shared" ca="1" si="39"/>
        <v>484.1537483297605</v>
      </c>
      <c r="W266" s="9">
        <f t="shared" ca="1" si="39"/>
        <v>187.4802533581487</v>
      </c>
      <c r="X266" s="9">
        <f t="shared" ca="1" si="39"/>
        <v>128.69623995196125</v>
      </c>
    </row>
    <row r="267" spans="2:40" ht="16.5" hidden="1" customHeight="1">
      <c r="B267" s="82" t="s">
        <v>397</v>
      </c>
      <c r="H267" s="3" t="s">
        <v>2989</v>
      </c>
      <c r="I267" s="115">
        <f t="shared" ca="1" si="36"/>
        <v>0</v>
      </c>
      <c r="K267" s="87"/>
      <c r="L267" s="775" t="s">
        <v>399</v>
      </c>
      <c r="M267" s="9">
        <f t="shared" ref="M267:X267" ca="1" si="40">M196*SUM(M137:M140)</f>
        <v>0</v>
      </c>
      <c r="N267" s="9">
        <f t="shared" ca="1" si="40"/>
        <v>0</v>
      </c>
      <c r="O267" s="9">
        <f t="shared" ca="1" si="40"/>
        <v>0</v>
      </c>
      <c r="P267" s="9">
        <f t="shared" ca="1" si="40"/>
        <v>0</v>
      </c>
      <c r="Q267" s="9">
        <f t="shared" ca="1" si="40"/>
        <v>0</v>
      </c>
      <c r="R267" s="9">
        <f t="shared" ca="1" si="40"/>
        <v>0</v>
      </c>
      <c r="S267" s="9">
        <f t="shared" ca="1" si="40"/>
        <v>0</v>
      </c>
      <c r="T267" s="9">
        <f t="shared" ca="1" si="40"/>
        <v>0</v>
      </c>
      <c r="U267" s="9">
        <f t="shared" ca="1" si="40"/>
        <v>0</v>
      </c>
      <c r="V267" s="9">
        <f t="shared" ca="1" si="40"/>
        <v>0</v>
      </c>
      <c r="W267" s="9">
        <f t="shared" ca="1" si="40"/>
        <v>0</v>
      </c>
      <c r="X267" s="9">
        <f t="shared" ca="1" si="40"/>
        <v>0</v>
      </c>
    </row>
    <row r="268" spans="2:40" ht="16.5" hidden="1" customHeight="1">
      <c r="B268" s="82" t="s">
        <v>2623</v>
      </c>
      <c r="H268" s="3" t="s">
        <v>2990</v>
      </c>
      <c r="I268" s="115">
        <f t="shared" ca="1" si="36"/>
        <v>137.24178000956448</v>
      </c>
      <c r="K268" s="87"/>
      <c r="L268" s="775" t="s">
        <v>400</v>
      </c>
      <c r="M268" s="11">
        <f t="shared" ref="M268:X268" ca="1" si="41">IF(M261&gt;0,SUM(M149:M160),0)</f>
        <v>-5.7877517775330167</v>
      </c>
      <c r="N268" s="11">
        <f t="shared" ca="1" si="41"/>
        <v>-4.3997789336745452</v>
      </c>
      <c r="O268" s="11">
        <f t="shared" ca="1" si="41"/>
        <v>10.653364422698091</v>
      </c>
      <c r="P268" s="11">
        <f t="shared" ca="1" si="41"/>
        <v>31.714427372629046</v>
      </c>
      <c r="Q268" s="11">
        <f t="shared" ca="1" si="41"/>
        <v>34.962510751417931</v>
      </c>
      <c r="R268" s="11">
        <f t="shared" ca="1" si="41"/>
        <v>36.366871525745893</v>
      </c>
      <c r="S268" s="11">
        <f t="shared" ca="1" si="41"/>
        <v>0</v>
      </c>
      <c r="T268" s="11">
        <f t="shared" ca="1" si="41"/>
        <v>27.304711518657104</v>
      </c>
      <c r="U268" s="11">
        <f t="shared" ca="1" si="41"/>
        <v>17.755761012902539</v>
      </c>
      <c r="V268" s="11">
        <f t="shared" ca="1" si="41"/>
        <v>7.7978377245001624</v>
      </c>
      <c r="W268" s="11">
        <f t="shared" ca="1" si="41"/>
        <v>-7.6448599133968793</v>
      </c>
      <c r="X268" s="11">
        <f t="shared" ca="1" si="41"/>
        <v>-11.481313694381845</v>
      </c>
    </row>
    <row r="269" spans="2:40" ht="16.5" hidden="1" customHeight="1">
      <c r="B269" s="82" t="s">
        <v>2624</v>
      </c>
      <c r="H269" s="3" t="s">
        <v>2991</v>
      </c>
      <c r="I269" s="115">
        <f t="shared" ca="1" si="36"/>
        <v>-2.1429878400000009</v>
      </c>
      <c r="K269" s="87"/>
      <c r="L269" s="775" t="s">
        <v>401</v>
      </c>
      <c r="M269" s="11">
        <f t="shared" ref="M269:X269" ca="1" si="42">IF(M261&gt;0,SUM(M161:M162),0)</f>
        <v>-3.0614112000000007</v>
      </c>
      <c r="N269" s="11">
        <f t="shared" ca="1" si="42"/>
        <v>-2.0277734400000003</v>
      </c>
      <c r="O269" s="11">
        <f t="shared" ca="1" si="42"/>
        <v>-0.91842336000000024</v>
      </c>
      <c r="P269" s="11">
        <f t="shared" ca="1" si="42"/>
        <v>1.7775936000000003</v>
      </c>
      <c r="Q269" s="11">
        <f t="shared" ca="1" si="42"/>
        <v>3.5716464000000006</v>
      </c>
      <c r="R269" s="11">
        <f t="shared" ca="1" si="42"/>
        <v>4.2464736000000007</v>
      </c>
      <c r="S269" s="11">
        <f t="shared" ca="1" si="42"/>
        <v>0</v>
      </c>
      <c r="T269" s="11">
        <f t="shared" ca="1" si="42"/>
        <v>1.7347996800000005</v>
      </c>
      <c r="U269" s="11">
        <f t="shared" ca="1" si="42"/>
        <v>9.8755200000000015E-2</v>
      </c>
      <c r="V269" s="11">
        <f t="shared" ca="1" si="42"/>
        <v>-1.5307056000000003</v>
      </c>
      <c r="W269" s="11">
        <f t="shared" ca="1" si="42"/>
        <v>-2.6663904000000005</v>
      </c>
      <c r="X269" s="11">
        <f t="shared" ca="1" si="42"/>
        <v>-3.367552320000001</v>
      </c>
    </row>
    <row r="270" spans="2:40" ht="16.5" hidden="1" customHeight="1">
      <c r="B270" s="82" t="s">
        <v>2625</v>
      </c>
      <c r="H270" s="3" t="s">
        <v>2992</v>
      </c>
      <c r="I270" s="115">
        <f t="shared" ca="1" si="36"/>
        <v>22.67382315015503</v>
      </c>
      <c r="K270" s="87"/>
      <c r="L270" s="775" t="s">
        <v>402</v>
      </c>
      <c r="M270" s="11">
        <f t="shared" ref="M270:X270" ca="1" si="43">IF(M261&gt;0,SUM(M162:M169),0)</f>
        <v>-5.4873280283977861</v>
      </c>
      <c r="N270" s="11">
        <f t="shared" ca="1" si="43"/>
        <v>-4.3769034653934371</v>
      </c>
      <c r="O270" s="11">
        <f t="shared" ca="1" si="43"/>
        <v>0.46519491420859493</v>
      </c>
      <c r="P270" s="11">
        <f t="shared" ca="1" si="43"/>
        <v>8.7710303438477482</v>
      </c>
      <c r="Q270" s="11">
        <f t="shared" ca="1" si="43"/>
        <v>12.137385913311119</v>
      </c>
      <c r="R270" s="11">
        <f t="shared" ca="1" si="43"/>
        <v>13.623337157574353</v>
      </c>
      <c r="S270" s="11">
        <f t="shared" ca="1" si="43"/>
        <v>0</v>
      </c>
      <c r="T270" s="11">
        <f t="shared" ca="1" si="43"/>
        <v>8.0289622895171817</v>
      </c>
      <c r="U270" s="11">
        <f t="shared" ca="1" si="43"/>
        <v>3.3942258421310965</v>
      </c>
      <c r="V270" s="11">
        <f t="shared" ca="1" si="43"/>
        <v>-0.50509375622186725</v>
      </c>
      <c r="W270" s="11">
        <f t="shared" ca="1" si="43"/>
        <v>-5.8455516451335043</v>
      </c>
      <c r="X270" s="11">
        <f t="shared" ca="1" si="43"/>
        <v>-7.5314364152884661</v>
      </c>
    </row>
    <row r="271" spans="2:40" ht="16.5" hidden="1" customHeight="1">
      <c r="B271" s="117" t="s">
        <v>2626</v>
      </c>
      <c r="C271" s="86"/>
      <c r="D271" s="86"/>
      <c r="E271" s="86"/>
      <c r="F271" s="86"/>
      <c r="G271" s="86"/>
      <c r="H271" s="948" t="s">
        <v>2993</v>
      </c>
      <c r="I271" s="121">
        <f ca="1">SUM(M271:X271)</f>
        <v>-534.55510563523148</v>
      </c>
      <c r="K271" s="87"/>
      <c r="L271" s="775"/>
      <c r="M271" s="9">
        <f ca="1">M191-M190</f>
        <v>-91.806585012980122</v>
      </c>
      <c r="N271" s="9">
        <f t="shared" ref="N271:X271" ca="1" si="44">N191-N190</f>
        <v>-76.915847759783901</v>
      </c>
      <c r="O271" s="9">
        <f t="shared" ca="1" si="44"/>
        <v>-66.9068521827312</v>
      </c>
      <c r="P271" s="9">
        <f t="shared" ca="1" si="44"/>
        <v>-42.175690665717411</v>
      </c>
      <c r="Q271" s="9">
        <f t="shared" ca="1" si="44"/>
        <v>-21.784755109672801</v>
      </c>
      <c r="R271" s="9">
        <f t="shared" ca="1" si="44"/>
        <v>-9.8956425448820369</v>
      </c>
      <c r="S271" s="9">
        <f t="shared" ca="1" si="44"/>
        <v>0</v>
      </c>
      <c r="T271" s="9">
        <f t="shared" ca="1" si="44"/>
        <v>-1.7783473558927199</v>
      </c>
      <c r="U271" s="9">
        <f t="shared" ca="1" si="44"/>
        <v>-20.221530417800409</v>
      </c>
      <c r="V271" s="9">
        <f t="shared" ca="1" si="44"/>
        <v>-42.2357588947566</v>
      </c>
      <c r="W271" s="9">
        <f t="shared" ca="1" si="44"/>
        <v>-68.261967435473707</v>
      </c>
      <c r="X271" s="9">
        <f t="shared" ca="1" si="44"/>
        <v>-92.57212825554052</v>
      </c>
    </row>
    <row r="272" spans="2:40" ht="16.5" customHeight="1">
      <c r="H272" s="3"/>
      <c r="I272" s="4"/>
      <c r="K272" s="87"/>
      <c r="L272" s="87"/>
      <c r="M272" s="11"/>
      <c r="N272" s="11"/>
      <c r="O272" s="11"/>
      <c r="P272" s="11"/>
      <c r="Q272" s="11"/>
      <c r="R272" s="11"/>
      <c r="S272" s="11"/>
      <c r="T272" s="11"/>
      <c r="U272" s="11"/>
      <c r="V272" s="11"/>
      <c r="W272" s="11"/>
      <c r="X272" s="11"/>
    </row>
    <row r="273" spans="1:40" ht="16.5" customHeight="1">
      <c r="B273" s="89" t="s">
        <v>3485</v>
      </c>
      <c r="C273" s="90"/>
      <c r="D273" s="90"/>
      <c r="E273" s="90"/>
      <c r="F273" s="90"/>
      <c r="G273" s="90"/>
      <c r="H273" s="90"/>
      <c r="I273" s="91"/>
      <c r="K273" s="87">
        <f>ROW(B274)</f>
        <v>274</v>
      </c>
      <c r="L273" s="87">
        <f>ROW(B299)</f>
        <v>299</v>
      </c>
      <c r="M273" s="8" t="s">
        <v>2392</v>
      </c>
    </row>
    <row r="274" spans="1:40" ht="16.5" hidden="1" customHeight="1">
      <c r="B274" s="82" t="s">
        <v>1805</v>
      </c>
      <c r="H274" s="3"/>
      <c r="I274" s="363"/>
      <c r="K274" s="87"/>
      <c r="L274" s="87"/>
    </row>
    <row r="275" spans="1:40" ht="16.5" hidden="1" customHeight="1">
      <c r="B275" s="82"/>
      <c r="C275" s="1" t="s">
        <v>1844</v>
      </c>
      <c r="H275" s="3" t="s">
        <v>1826</v>
      </c>
      <c r="I275" s="389">
        <f ca="1">gAN</f>
        <v>213.7481712</v>
      </c>
      <c r="K275" s="87"/>
      <c r="L275" s="87"/>
      <c r="N275" s="72" t="s">
        <v>2294</v>
      </c>
    </row>
    <row r="276" spans="1:40" ht="15.6" hidden="1">
      <c r="B276" s="388"/>
      <c r="C276" s="1" t="s">
        <v>171</v>
      </c>
      <c r="H276" s="359" t="s">
        <v>1750</v>
      </c>
      <c r="I276" s="389">
        <f ca="1">I107</f>
        <v>118.30852892008821</v>
      </c>
      <c r="K276" s="87"/>
      <c r="L276" s="87"/>
    </row>
    <row r="277" spans="1:40" ht="15.6" hidden="1">
      <c r="B277" s="82"/>
      <c r="C277" s="1" t="s">
        <v>1806</v>
      </c>
      <c r="H277" s="3" t="s">
        <v>1807</v>
      </c>
      <c r="I277" s="115">
        <f ca="1">SUM(I114:I115)</f>
        <v>507.65190660000002</v>
      </c>
      <c r="K277" s="87"/>
      <c r="L277" s="78"/>
      <c r="N277" s="484" t="s">
        <v>2293</v>
      </c>
      <c r="O277" s="376"/>
      <c r="P277" s="376"/>
      <c r="Q277" s="376"/>
      <c r="R277" s="376"/>
      <c r="S277" s="376"/>
      <c r="T277" s="484" t="s">
        <v>2295</v>
      </c>
      <c r="U277" s="485"/>
      <c r="V277" s="486" t="s">
        <v>2296</v>
      </c>
      <c r="W277" s="485"/>
    </row>
    <row r="278" spans="1:40" hidden="1">
      <c r="B278" s="82"/>
      <c r="C278" s="1" t="s">
        <v>2672</v>
      </c>
      <c r="H278" s="3"/>
      <c r="I278" s="734" t="str">
        <f>IF(ISERROR(FIND("Zu",G116)),Y285,Y286)</f>
        <v>Fenster oder Abluft</v>
      </c>
      <c r="K278" s="87"/>
      <c r="L278" s="78"/>
      <c r="N278" s="82"/>
      <c r="O278" s="1" t="s">
        <v>2931</v>
      </c>
      <c r="T278" s="479">
        <v>1.5</v>
      </c>
      <c r="U278" s="83"/>
      <c r="V278" s="99">
        <v>0.06</v>
      </c>
      <c r="W278" s="85"/>
    </row>
    <row r="279" spans="1:40" hidden="1">
      <c r="B279" s="82"/>
      <c r="C279" s="1" t="s">
        <v>1816</v>
      </c>
      <c r="H279" s="3"/>
      <c r="I279" s="734" t="str">
        <f>IF(gCwirk_Art=D180,D180,IF(gCwirk_Art=D181,D181,IF(gCwirk_eta&lt;35,D180,D181)))</f>
        <v>schwere Bauweise</v>
      </c>
      <c r="K279" s="87"/>
      <c r="L279" s="78"/>
      <c r="N279" s="82"/>
      <c r="O279" s="1" t="s">
        <v>2932</v>
      </c>
      <c r="T279" s="479">
        <v>3</v>
      </c>
      <c r="U279" s="83"/>
      <c r="V279" s="99">
        <v>0.12</v>
      </c>
      <c r="W279" s="85"/>
    </row>
    <row r="280" spans="1:40" hidden="1">
      <c r="B280" s="82" t="s">
        <v>1808</v>
      </c>
      <c r="H280" s="3"/>
      <c r="I280" s="363"/>
      <c r="K280" s="87"/>
      <c r="L280" s="78"/>
      <c r="N280" s="117"/>
      <c r="O280" s="86" t="s">
        <v>1839</v>
      </c>
      <c r="P280" s="86"/>
      <c r="Q280" s="86"/>
      <c r="R280" s="86"/>
      <c r="S280" s="86"/>
      <c r="T280" s="480">
        <v>6</v>
      </c>
      <c r="U280" s="481"/>
      <c r="V280" s="118">
        <v>0.24</v>
      </c>
      <c r="W280" s="478"/>
    </row>
    <row r="281" spans="1:40" ht="15.6" hidden="1">
      <c r="B281" s="82"/>
      <c r="C281" s="1" t="s">
        <v>1809</v>
      </c>
      <c r="H281" s="3" t="s">
        <v>1811</v>
      </c>
      <c r="I281" s="535">
        <v>-12</v>
      </c>
      <c r="J281" s="392"/>
      <c r="K281" s="87"/>
      <c r="L281" s="78"/>
      <c r="N281" s="476" t="s">
        <v>1823</v>
      </c>
    </row>
    <row r="282" spans="1:40" s="129" customFormat="1" ht="15.6" hidden="1">
      <c r="A282" s="1"/>
      <c r="B282" s="82"/>
      <c r="C282" s="1" t="s">
        <v>1810</v>
      </c>
      <c r="D282" s="1"/>
      <c r="E282" s="1"/>
      <c r="F282" s="1"/>
      <c r="G282" s="1"/>
      <c r="H282" s="3" t="s">
        <v>1812</v>
      </c>
      <c r="I282" s="535">
        <v>20</v>
      </c>
      <c r="J282" s="392"/>
      <c r="K282" s="87"/>
      <c r="AA282" s="571"/>
      <c r="AB282" s="571"/>
      <c r="AC282" s="571"/>
      <c r="AD282" s="571"/>
      <c r="AE282" s="571"/>
      <c r="AF282" s="571"/>
      <c r="AG282" s="571"/>
      <c r="AH282" s="571"/>
      <c r="AI282" s="571"/>
      <c r="AJ282" s="571"/>
      <c r="AK282" s="571"/>
      <c r="AL282" s="571"/>
      <c r="AM282" s="571"/>
      <c r="AN282" s="571"/>
    </row>
    <row r="283" spans="1:40" s="129" customFormat="1" ht="15.6" hidden="1">
      <c r="A283" s="1"/>
      <c r="B283" s="82"/>
      <c r="C283" s="1" t="s">
        <v>1814</v>
      </c>
      <c r="D283" s="1"/>
      <c r="E283" s="1"/>
      <c r="F283" s="1"/>
      <c r="G283" s="1"/>
      <c r="H283" s="3" t="s">
        <v>1813</v>
      </c>
      <c r="I283" s="535"/>
      <c r="J283" s="1"/>
      <c r="K283" s="87"/>
      <c r="N283" s="477" t="s">
        <v>2303</v>
      </c>
      <c r="O283" s="80"/>
      <c r="P283" s="80"/>
      <c r="Q283" s="80"/>
      <c r="R283" s="80"/>
      <c r="S283" s="80"/>
      <c r="T283" s="80"/>
      <c r="U283" s="477" t="s">
        <v>1834</v>
      </c>
      <c r="V283" s="80"/>
      <c r="W283" s="80"/>
      <c r="X283" s="81"/>
      <c r="AA283" s="571"/>
      <c r="AB283" s="571"/>
      <c r="AC283" s="571"/>
      <c r="AD283" s="571"/>
      <c r="AE283" s="571"/>
      <c r="AF283" s="571"/>
      <c r="AG283" s="571"/>
      <c r="AH283" s="571"/>
      <c r="AI283" s="571"/>
      <c r="AJ283" s="571"/>
      <c r="AK283" s="571"/>
      <c r="AL283" s="571"/>
      <c r="AM283" s="571"/>
      <c r="AN283" s="571"/>
    </row>
    <row r="284" spans="1:40" s="129" customFormat="1" hidden="1">
      <c r="A284" s="1"/>
      <c r="B284" s="82"/>
      <c r="C284" s="1" t="s">
        <v>1815</v>
      </c>
      <c r="D284" s="1"/>
      <c r="E284" s="1"/>
      <c r="F284" s="1"/>
      <c r="G284" s="1"/>
      <c r="H284" s="3"/>
      <c r="I284" s="1072" t="s">
        <v>798</v>
      </c>
      <c r="J284" s="5"/>
      <c r="N284" s="117"/>
      <c r="O284" s="86"/>
      <c r="P284" s="86"/>
      <c r="Q284" s="86"/>
      <c r="R284" s="86"/>
      <c r="S284" s="86"/>
      <c r="T284" s="86"/>
      <c r="U284" s="117" t="s">
        <v>1832</v>
      </c>
      <c r="V284" s="478"/>
      <c r="W284" s="86" t="s">
        <v>1833</v>
      </c>
      <c r="X284" s="478"/>
      <c r="AA284" s="571"/>
      <c r="AB284" s="571"/>
      <c r="AC284" s="571"/>
      <c r="AD284" s="571"/>
      <c r="AE284" s="571"/>
      <c r="AF284" s="571"/>
      <c r="AG284" s="571"/>
      <c r="AH284" s="571"/>
      <c r="AI284" s="571"/>
      <c r="AJ284" s="571"/>
      <c r="AK284" s="571"/>
      <c r="AL284" s="571"/>
      <c r="AM284" s="571"/>
      <c r="AN284" s="571"/>
    </row>
    <row r="285" spans="1:40" s="129" customFormat="1" hidden="1">
      <c r="A285" s="1"/>
      <c r="B285" s="82" t="s">
        <v>1819</v>
      </c>
      <c r="C285" s="1"/>
      <c r="D285" s="1"/>
      <c r="E285" s="1"/>
      <c r="F285" s="1"/>
      <c r="G285" s="1"/>
      <c r="H285" s="3"/>
      <c r="I285" s="363"/>
      <c r="J285" s="5"/>
      <c r="N285" s="82"/>
      <c r="O285" s="1" t="s">
        <v>2297</v>
      </c>
      <c r="P285" s="1"/>
      <c r="Q285" s="1"/>
      <c r="R285" s="1"/>
      <c r="S285" s="1"/>
      <c r="T285" s="1"/>
      <c r="U285" s="479">
        <v>43</v>
      </c>
      <c r="V285" s="83"/>
      <c r="W285" s="3">
        <v>16</v>
      </c>
      <c r="X285" s="83"/>
      <c r="Y285" s="122" t="s">
        <v>2680</v>
      </c>
      <c r="AA285" s="571"/>
      <c r="AB285" s="571"/>
      <c r="AC285" s="571"/>
      <c r="AD285" s="571"/>
      <c r="AE285" s="571"/>
      <c r="AF285" s="571"/>
      <c r="AG285" s="571"/>
      <c r="AH285" s="571"/>
      <c r="AI285" s="571"/>
      <c r="AJ285" s="571"/>
      <c r="AK285" s="571"/>
      <c r="AL285" s="571"/>
      <c r="AM285" s="571"/>
      <c r="AN285" s="571"/>
    </row>
    <row r="286" spans="1:40" s="129" customFormat="1" ht="15.6" hidden="1">
      <c r="A286" s="1"/>
      <c r="B286" s="82"/>
      <c r="C286" s="1" t="s">
        <v>1821</v>
      </c>
      <c r="D286" s="1"/>
      <c r="E286" s="1"/>
      <c r="F286" s="1"/>
      <c r="G286" s="1"/>
      <c r="H286" s="3" t="s">
        <v>1820</v>
      </c>
      <c r="I286" s="363">
        <v>0.5</v>
      </c>
      <c r="J286" s="5"/>
      <c r="N286" s="117"/>
      <c r="O286" s="86" t="s">
        <v>2298</v>
      </c>
      <c r="P286" s="86"/>
      <c r="Q286" s="86"/>
      <c r="R286" s="86"/>
      <c r="S286" s="86"/>
      <c r="T286" s="86"/>
      <c r="U286" s="480">
        <v>34</v>
      </c>
      <c r="V286" s="481"/>
      <c r="W286" s="108">
        <v>10</v>
      </c>
      <c r="X286" s="481"/>
      <c r="Y286" s="122" t="s">
        <v>2681</v>
      </c>
      <c r="AA286" s="571"/>
      <c r="AB286" s="571"/>
      <c r="AC286" s="571"/>
      <c r="AD286" s="571"/>
      <c r="AE286" s="571"/>
      <c r="AF286" s="571"/>
      <c r="AG286" s="571"/>
      <c r="AH286" s="571"/>
      <c r="AI286" s="571"/>
      <c r="AJ286" s="571"/>
      <c r="AK286" s="571"/>
      <c r="AL286" s="571"/>
      <c r="AM286" s="571"/>
      <c r="AN286" s="571"/>
    </row>
    <row r="287" spans="1:40" s="129" customFormat="1" ht="15.6" hidden="1">
      <c r="A287" s="1"/>
      <c r="B287" s="82"/>
      <c r="C287" s="1" t="s">
        <v>1822</v>
      </c>
      <c r="D287" s="1"/>
      <c r="E287" s="1"/>
      <c r="F287" s="1"/>
      <c r="G287" s="1"/>
      <c r="H287" s="3" t="s">
        <v>1871</v>
      </c>
      <c r="I287" s="363">
        <v>0.34</v>
      </c>
      <c r="J287" s="5"/>
      <c r="N287" s="476" t="s">
        <v>2299</v>
      </c>
      <c r="O287" s="1"/>
      <c r="P287" s="1"/>
      <c r="Q287" s="1"/>
      <c r="R287" s="1"/>
      <c r="S287" s="1"/>
      <c r="T287" s="1"/>
      <c r="U287" s="1"/>
      <c r="V287" s="1"/>
      <c r="W287" s="1"/>
      <c r="AA287" s="571"/>
      <c r="AB287" s="571"/>
      <c r="AC287" s="571"/>
      <c r="AD287" s="571"/>
      <c r="AE287" s="571"/>
      <c r="AF287" s="571"/>
      <c r="AG287" s="571"/>
      <c r="AH287" s="571"/>
      <c r="AI287" s="571"/>
      <c r="AJ287" s="571"/>
      <c r="AK287" s="571"/>
      <c r="AL287" s="571"/>
      <c r="AM287" s="571"/>
      <c r="AN287" s="571"/>
    </row>
    <row r="288" spans="1:40" s="129" customFormat="1" hidden="1">
      <c r="A288" s="1"/>
      <c r="B288" s="82" t="s">
        <v>1818</v>
      </c>
      <c r="C288" s="1"/>
      <c r="D288" s="1"/>
      <c r="E288" s="1"/>
      <c r="F288" s="1"/>
      <c r="G288" s="1"/>
      <c r="H288" s="3"/>
      <c r="I288" s="363"/>
      <c r="J288" s="5"/>
      <c r="AA288" s="571"/>
      <c r="AB288" s="571"/>
      <c r="AC288" s="571"/>
      <c r="AD288" s="571"/>
      <c r="AE288" s="571"/>
      <c r="AF288" s="571"/>
      <c r="AG288" s="571"/>
      <c r="AH288" s="571"/>
      <c r="AI288" s="571"/>
      <c r="AJ288" s="571"/>
      <c r="AK288" s="571"/>
      <c r="AL288" s="571"/>
      <c r="AM288" s="571"/>
      <c r="AN288" s="571"/>
    </row>
    <row r="289" spans="1:40" s="129" customFormat="1" ht="15.6" hidden="1">
      <c r="A289" s="1"/>
      <c r="B289" s="82"/>
      <c r="C289" s="1" t="s">
        <v>2291</v>
      </c>
      <c r="D289" s="1"/>
      <c r="E289" s="1"/>
      <c r="F289" s="1"/>
      <c r="G289" s="1"/>
      <c r="H289" s="3" t="s">
        <v>2292</v>
      </c>
      <c r="I289" s="363">
        <f ca="1">IF(I281="ja",6,IF(I275="Fensterlüftung",3,1.5))</f>
        <v>1.5</v>
      </c>
      <c r="J289" s="392" t="s">
        <v>1823</v>
      </c>
      <c r="AA289" s="571"/>
      <c r="AB289" s="571"/>
      <c r="AC289" s="571"/>
      <c r="AD289" s="571"/>
      <c r="AE289" s="571"/>
      <c r="AF289" s="571"/>
      <c r="AG289" s="571"/>
      <c r="AH289" s="571"/>
      <c r="AI289" s="571"/>
      <c r="AJ289" s="571"/>
      <c r="AK289" s="571"/>
      <c r="AL289" s="571"/>
      <c r="AM289" s="571"/>
      <c r="AN289" s="571"/>
    </row>
    <row r="290" spans="1:40" s="129" customFormat="1" ht="15.6" hidden="1">
      <c r="A290" s="1"/>
      <c r="B290" s="82"/>
      <c r="C290" s="72" t="s">
        <v>1829</v>
      </c>
      <c r="D290" s="1"/>
      <c r="E290" s="1"/>
      <c r="F290" s="1"/>
      <c r="G290" s="1"/>
      <c r="H290" s="3" t="s">
        <v>1817</v>
      </c>
      <c r="I290" s="390">
        <f ca="1">I276*(I282-I281)</f>
        <v>3785.8729254428226</v>
      </c>
      <c r="J290" s="5"/>
      <c r="M290" s="391">
        <f ca="1">I290/$I$275</f>
        <v>17.711837739656985</v>
      </c>
      <c r="AA290" s="571"/>
      <c r="AB290" s="571"/>
      <c r="AC290" s="571"/>
      <c r="AD290" s="571"/>
      <c r="AE290" s="571"/>
      <c r="AF290" s="571"/>
      <c r="AG290" s="571"/>
      <c r="AH290" s="571"/>
      <c r="AI290" s="571"/>
      <c r="AJ290" s="571"/>
      <c r="AK290" s="571"/>
      <c r="AL290" s="571"/>
      <c r="AM290" s="571"/>
      <c r="AN290" s="571"/>
    </row>
    <row r="291" spans="1:40" s="129" customFormat="1" ht="15.6" hidden="1">
      <c r="A291" s="1"/>
      <c r="B291" s="82"/>
      <c r="C291" s="1" t="s">
        <v>1841</v>
      </c>
      <c r="D291" s="1"/>
      <c r="E291" s="1"/>
      <c r="F291" s="1"/>
      <c r="G291" s="1"/>
      <c r="H291" s="3" t="s">
        <v>1840</v>
      </c>
      <c r="I291" s="390">
        <f ca="1">$I$277*$I$286*(1-IF(I278=Y286,$I$283,0)/100)*$I$287*($I$282-$I$281)</f>
        <v>2761.6263719040003</v>
      </c>
      <c r="J291" s="5"/>
      <c r="M291" s="391">
        <f ca="1">I291/$I$275</f>
        <v>12.920000000000002</v>
      </c>
      <c r="AA291" s="571"/>
      <c r="AB291" s="571"/>
      <c r="AC291" s="571"/>
      <c r="AD291" s="571"/>
      <c r="AE291" s="571"/>
      <c r="AF291" s="571"/>
      <c r="AG291" s="571"/>
      <c r="AH291" s="571"/>
      <c r="AI291" s="571"/>
      <c r="AJ291" s="571"/>
      <c r="AK291" s="571"/>
      <c r="AL291" s="571"/>
      <c r="AM291" s="571"/>
      <c r="AN291" s="571"/>
    </row>
    <row r="292" spans="1:40" s="129" customFormat="1" ht="15.6" hidden="1">
      <c r="A292" s="1"/>
      <c r="B292" s="82"/>
      <c r="C292" s="1" t="s">
        <v>1828</v>
      </c>
      <c r="D292" s="1"/>
      <c r="E292" s="1"/>
      <c r="F292" s="1"/>
      <c r="G292" s="1"/>
      <c r="H292" s="3" t="s">
        <v>1824</v>
      </c>
      <c r="I292" s="363">
        <f>IF(I284="ja",0.24,IF(I278=Y285,0.12,0.06))</f>
        <v>0.12</v>
      </c>
      <c r="J292" s="392" t="s">
        <v>1823</v>
      </c>
      <c r="R292" s="5"/>
      <c r="S292" s="5"/>
      <c r="T292" s="5"/>
      <c r="U292" s="5"/>
      <c r="V292" s="5"/>
      <c r="W292" s="5"/>
      <c r="X292" s="5"/>
      <c r="Y292" s="5"/>
      <c r="AA292" s="571"/>
      <c r="AB292" s="571"/>
      <c r="AC292" s="571"/>
      <c r="AD292" s="571"/>
      <c r="AE292" s="571"/>
      <c r="AF292" s="571"/>
      <c r="AG292" s="571"/>
      <c r="AH292" s="571"/>
      <c r="AI292" s="571"/>
      <c r="AJ292" s="571"/>
      <c r="AK292" s="571"/>
      <c r="AL292" s="571"/>
      <c r="AM292" s="571"/>
      <c r="AN292" s="571"/>
    </row>
    <row r="293" spans="1:40" s="129" customFormat="1" ht="15.6" hidden="1">
      <c r="A293" s="1"/>
      <c r="B293" s="82"/>
      <c r="C293" s="1" t="s">
        <v>1843</v>
      </c>
      <c r="D293" s="1"/>
      <c r="E293" s="1"/>
      <c r="F293" s="1"/>
      <c r="G293" s="1"/>
      <c r="H293" s="3" t="s">
        <v>1842</v>
      </c>
      <c r="I293" s="390">
        <f>IF(I278=Y285,0,$I$277*$I$292*($I$287*($I$282-$I$281)))</f>
        <v>0</v>
      </c>
      <c r="J293" s="5"/>
      <c r="M293" s="391">
        <f ca="1">I293/$I$275</f>
        <v>0</v>
      </c>
      <c r="R293" s="5"/>
      <c r="S293" s="5"/>
      <c r="T293" s="5"/>
      <c r="U293" s="5"/>
      <c r="V293" s="5"/>
      <c r="W293" s="5"/>
      <c r="X293" s="5"/>
      <c r="Y293" s="5"/>
      <c r="AA293" s="571"/>
      <c r="AB293" s="571"/>
      <c r="AC293" s="571"/>
      <c r="AD293" s="571"/>
      <c r="AE293" s="571"/>
      <c r="AF293" s="571"/>
      <c r="AG293" s="571"/>
      <c r="AH293" s="571"/>
      <c r="AI293" s="571"/>
      <c r="AJ293" s="571"/>
      <c r="AK293" s="571"/>
      <c r="AL293" s="571"/>
      <c r="AM293" s="571"/>
      <c r="AN293" s="571"/>
    </row>
    <row r="294" spans="1:40" s="129" customFormat="1" ht="15.6" hidden="1">
      <c r="A294" s="1"/>
      <c r="B294" s="82"/>
      <c r="C294" s="72" t="s">
        <v>2612</v>
      </c>
      <c r="D294" s="1"/>
      <c r="E294" s="1"/>
      <c r="F294" s="1"/>
      <c r="G294" s="1"/>
      <c r="H294" s="3" t="s">
        <v>2613</v>
      </c>
      <c r="I294" s="390">
        <f ca="1">MAX(I291,I293)</f>
        <v>2761.6263719040003</v>
      </c>
      <c r="J294" s="1"/>
      <c r="K294" s="87"/>
      <c r="M294" s="391">
        <f ca="1">I294/$I$275</f>
        <v>12.920000000000002</v>
      </c>
      <c r="R294" s="5"/>
      <c r="S294" s="5"/>
      <c r="T294" s="5"/>
      <c r="U294" s="5"/>
      <c r="V294" s="5"/>
      <c r="W294" s="5"/>
      <c r="X294" s="5"/>
      <c r="Y294" s="5"/>
      <c r="AA294" s="571"/>
      <c r="AB294" s="571"/>
      <c r="AC294" s="571"/>
      <c r="AD294" s="571"/>
      <c r="AE294" s="571"/>
      <c r="AF294" s="571"/>
      <c r="AG294" s="571"/>
      <c r="AH294" s="571"/>
      <c r="AI294" s="571"/>
      <c r="AJ294" s="571"/>
      <c r="AK294" s="571"/>
      <c r="AL294" s="571"/>
      <c r="AM294" s="571"/>
      <c r="AN294" s="571"/>
    </row>
    <row r="295" spans="1:40" s="129" customFormat="1" ht="15.6" hidden="1">
      <c r="A295" s="1"/>
      <c r="B295" s="82"/>
      <c r="C295" s="72" t="s">
        <v>1830</v>
      </c>
      <c r="D295" s="1"/>
      <c r="E295" s="1"/>
      <c r="F295" s="1"/>
      <c r="G295" s="1"/>
      <c r="H295" s="3" t="s">
        <v>1827</v>
      </c>
      <c r="I295" s="390">
        <f ca="1">I290+I294</f>
        <v>6547.4992973468234</v>
      </c>
      <c r="J295" s="1"/>
      <c r="K295" s="87"/>
      <c r="M295" s="391">
        <f ca="1">I295/$I$275</f>
        <v>30.631837739656991</v>
      </c>
      <c r="R295" s="5"/>
      <c r="S295" s="5"/>
      <c r="T295" s="5"/>
      <c r="U295" s="5"/>
      <c r="V295" s="5"/>
      <c r="W295" s="5"/>
      <c r="X295" s="5"/>
      <c r="Y295" s="5"/>
      <c r="AA295" s="571"/>
      <c r="AB295" s="571"/>
      <c r="AC295" s="571"/>
      <c r="AD295" s="571"/>
      <c r="AE295" s="571"/>
      <c r="AF295" s="571"/>
      <c r="AG295" s="571"/>
      <c r="AH295" s="571"/>
      <c r="AI295" s="571"/>
      <c r="AJ295" s="571"/>
      <c r="AK295" s="571"/>
      <c r="AL295" s="571"/>
      <c r="AM295" s="571"/>
      <c r="AN295" s="571"/>
    </row>
    <row r="296" spans="1:40" s="129" customFormat="1" ht="15.6" hidden="1">
      <c r="A296" s="1"/>
      <c r="B296" s="82"/>
      <c r="C296" s="1" t="s">
        <v>1835</v>
      </c>
      <c r="D296" s="1"/>
      <c r="E296" s="1"/>
      <c r="F296" s="1"/>
      <c r="G296" s="1"/>
      <c r="H296" s="3" t="s">
        <v>1872</v>
      </c>
      <c r="I296" s="390">
        <f>IF(I283&gt;0,IF($I$279=$D$180,34,10),IF($I$279=$D$180,43,16))</f>
        <v>16</v>
      </c>
      <c r="J296" s="392" t="s">
        <v>1876</v>
      </c>
      <c r="K296" s="87"/>
      <c r="M296" s="391"/>
      <c r="R296" s="5"/>
      <c r="S296" s="5"/>
      <c r="T296" s="5"/>
      <c r="U296" s="5"/>
      <c r="V296" s="5"/>
      <c r="W296" s="5"/>
      <c r="X296" s="5"/>
      <c r="Y296" s="5"/>
      <c r="AA296" s="571"/>
      <c r="AB296" s="571"/>
      <c r="AC296" s="571"/>
      <c r="AD296" s="571"/>
      <c r="AE296" s="571"/>
      <c r="AF296" s="571"/>
      <c r="AG296" s="571"/>
      <c r="AH296" s="571"/>
      <c r="AI296" s="571"/>
      <c r="AJ296" s="571"/>
      <c r="AK296" s="571"/>
      <c r="AL296" s="571"/>
      <c r="AM296" s="571"/>
      <c r="AN296" s="571"/>
    </row>
    <row r="297" spans="1:40" s="129" customFormat="1" ht="15.6" hidden="1">
      <c r="A297" s="1"/>
      <c r="B297" s="82"/>
      <c r="C297" s="1" t="s">
        <v>1831</v>
      </c>
      <c r="D297" s="1"/>
      <c r="E297" s="1"/>
      <c r="F297" s="1"/>
      <c r="G297" s="1"/>
      <c r="H297" s="3" t="s">
        <v>1873</v>
      </c>
      <c r="I297" s="390">
        <f ca="1">I296*I275</f>
        <v>3419.9707392</v>
      </c>
      <c r="J297" s="1"/>
      <c r="K297" s="87"/>
      <c r="M297" s="391">
        <f ca="1">I297/$I$275</f>
        <v>16</v>
      </c>
      <c r="R297" s="5"/>
      <c r="S297" s="5"/>
      <c r="T297" s="5"/>
      <c r="U297" s="5"/>
      <c r="V297" s="5"/>
      <c r="W297" s="5"/>
      <c r="X297" s="5"/>
      <c r="Y297" s="5"/>
      <c r="AA297" s="571"/>
      <c r="AB297" s="571"/>
      <c r="AC297" s="571"/>
      <c r="AD297" s="571"/>
      <c r="AE297" s="571"/>
      <c r="AF297" s="571"/>
      <c r="AG297" s="571"/>
      <c r="AH297" s="571"/>
      <c r="AI297" s="571"/>
      <c r="AJ297" s="571"/>
      <c r="AK297" s="571"/>
      <c r="AL297" s="571"/>
      <c r="AM297" s="571"/>
      <c r="AN297" s="571"/>
    </row>
    <row r="298" spans="1:40" s="129" customFormat="1" ht="15.6" hidden="1">
      <c r="A298" s="1"/>
      <c r="B298" s="82"/>
      <c r="C298" s="72" t="s">
        <v>1837</v>
      </c>
      <c r="D298" s="72"/>
      <c r="E298" s="72"/>
      <c r="F298" s="72"/>
      <c r="G298" s="72"/>
      <c r="H298" s="99" t="s">
        <v>1838</v>
      </c>
      <c r="I298" s="393">
        <f ca="1">I295+I297</f>
        <v>9967.4700365468234</v>
      </c>
      <c r="J298" s="1"/>
      <c r="K298" s="87"/>
      <c r="M298" s="391">
        <f ca="1">I298/$I$275</f>
        <v>46.631837739656987</v>
      </c>
      <c r="R298" s="5"/>
      <c r="S298" s="5"/>
      <c r="T298" s="5"/>
      <c r="U298" s="5"/>
      <c r="V298" s="5"/>
      <c r="W298" s="5"/>
      <c r="X298" s="5"/>
      <c r="Y298" s="5"/>
      <c r="AA298" s="571"/>
      <c r="AB298" s="571"/>
      <c r="AC298" s="571"/>
      <c r="AD298" s="571"/>
      <c r="AE298" s="571"/>
      <c r="AF298" s="571"/>
      <c r="AG298" s="571"/>
      <c r="AH298" s="571"/>
      <c r="AI298" s="571"/>
      <c r="AJ298" s="571"/>
      <c r="AK298" s="571"/>
      <c r="AL298" s="571"/>
      <c r="AM298" s="571"/>
      <c r="AN298" s="571"/>
    </row>
    <row r="299" spans="1:40" s="129" customFormat="1" hidden="1">
      <c r="A299" s="1"/>
      <c r="B299" s="117"/>
      <c r="C299" s="86" t="s">
        <v>1836</v>
      </c>
      <c r="D299" s="86"/>
      <c r="E299" s="86"/>
      <c r="F299" s="86"/>
      <c r="G299" s="86"/>
      <c r="H299" s="108"/>
      <c r="I299" s="482">
        <f ca="1">Referenz!$I$266</f>
        <v>11563.708239104</v>
      </c>
      <c r="J299" s="1"/>
      <c r="K299" s="87"/>
      <c r="M299" s="391">
        <f ca="1">I299/$I$275</f>
        <v>54.099682697561249</v>
      </c>
      <c r="R299" s="5"/>
      <c r="S299" s="5"/>
      <c r="T299" s="5"/>
      <c r="U299" s="5"/>
      <c r="V299" s="5"/>
      <c r="W299" s="5"/>
      <c r="X299" s="5"/>
      <c r="Y299" s="5"/>
      <c r="AA299" s="571"/>
      <c r="AB299" s="571"/>
      <c r="AC299" s="571"/>
      <c r="AD299" s="571"/>
      <c r="AE299" s="571"/>
      <c r="AF299" s="571"/>
      <c r="AG299" s="571"/>
      <c r="AH299" s="571"/>
      <c r="AI299" s="571"/>
      <c r="AJ299" s="571"/>
      <c r="AK299" s="571"/>
      <c r="AL299" s="571"/>
      <c r="AM299" s="571"/>
      <c r="AN299" s="571"/>
    </row>
    <row r="300" spans="1:40" s="129" customFormat="1">
      <c r="H300" s="129" t="s">
        <v>955</v>
      </c>
      <c r="R300" s="5"/>
      <c r="S300" s="5"/>
      <c r="T300" s="5"/>
      <c r="U300" s="5"/>
      <c r="V300" s="5"/>
      <c r="W300" s="5"/>
      <c r="X300" s="5"/>
      <c r="Y300" s="5"/>
      <c r="AA300" s="571"/>
      <c r="AB300" s="571"/>
      <c r="AC300" s="571"/>
      <c r="AD300" s="571"/>
      <c r="AE300" s="571"/>
      <c r="AF300" s="571"/>
      <c r="AG300" s="571"/>
      <c r="AH300" s="571"/>
      <c r="AI300" s="571"/>
      <c r="AJ300" s="571"/>
      <c r="AK300" s="571"/>
      <c r="AL300" s="571"/>
      <c r="AM300" s="571"/>
      <c r="AN300" s="571"/>
    </row>
    <row r="301" spans="1:40" ht="16.5" customHeight="1">
      <c r="B301" s="89" t="s">
        <v>3486</v>
      </c>
      <c r="C301" s="90"/>
      <c r="D301" s="90"/>
      <c r="E301" s="90"/>
      <c r="F301" s="90"/>
      <c r="G301" s="90"/>
      <c r="H301" s="90"/>
      <c r="I301" s="91"/>
      <c r="K301" s="87">
        <f>ROW(B302)</f>
        <v>302</v>
      </c>
      <c r="L301" s="87">
        <f>ROW(B339)</f>
        <v>339</v>
      </c>
      <c r="M301" s="8" t="s">
        <v>1898</v>
      </c>
      <c r="R301" s="5"/>
      <c r="S301" s="5"/>
      <c r="T301" s="5"/>
      <c r="U301" s="5"/>
      <c r="V301" s="5"/>
      <c r="W301" s="5"/>
      <c r="X301" s="5"/>
      <c r="Y301" s="5"/>
    </row>
    <row r="302" spans="1:40" ht="16.5" hidden="1" customHeight="1">
      <c r="B302" s="82" t="s">
        <v>1892</v>
      </c>
      <c r="H302" s="3"/>
      <c r="I302" s="389"/>
      <c r="K302" s="87"/>
      <c r="L302" s="394"/>
      <c r="M302" s="11"/>
      <c r="N302" s="11"/>
      <c r="O302" s="11"/>
      <c r="P302" s="11"/>
      <c r="Q302" s="11"/>
      <c r="R302" s="11"/>
      <c r="S302" s="11"/>
      <c r="T302" s="11"/>
      <c r="U302" s="11"/>
      <c r="V302" s="11"/>
      <c r="W302" s="11"/>
      <c r="X302" s="11"/>
    </row>
    <row r="303" spans="1:40" ht="16.5" hidden="1" customHeight="1">
      <c r="B303" s="388" t="s">
        <v>1893</v>
      </c>
      <c r="H303" s="3"/>
      <c r="I303" s="389"/>
      <c r="K303" s="87"/>
    </row>
    <row r="304" spans="1:40" ht="16.5" hidden="1" customHeight="1">
      <c r="B304" s="388"/>
      <c r="C304" s="72" t="s">
        <v>1897</v>
      </c>
      <c r="D304" s="72"/>
      <c r="E304" s="72"/>
      <c r="F304" s="72"/>
      <c r="G304" s="72" t="s">
        <v>1895</v>
      </c>
      <c r="I304" s="397"/>
      <c r="K304" s="87"/>
      <c r="L304" s="394"/>
      <c r="M304" s="8" t="s">
        <v>116</v>
      </c>
      <c r="N304" s="8" t="s">
        <v>117</v>
      </c>
      <c r="O304" s="8" t="s">
        <v>118</v>
      </c>
      <c r="P304" s="8" t="s">
        <v>119</v>
      </c>
      <c r="Q304" s="8" t="s">
        <v>120</v>
      </c>
      <c r="R304" s="8" t="s">
        <v>121</v>
      </c>
      <c r="S304" s="8" t="s">
        <v>122</v>
      </c>
      <c r="T304" s="8" t="s">
        <v>123</v>
      </c>
      <c r="U304" s="8" t="s">
        <v>124</v>
      </c>
      <c r="V304" s="8" t="s">
        <v>125</v>
      </c>
      <c r="W304" s="8" t="s">
        <v>126</v>
      </c>
      <c r="X304" s="8" t="s">
        <v>127</v>
      </c>
    </row>
    <row r="305" spans="1:40" ht="16.5" hidden="1" customHeight="1">
      <c r="B305" s="82"/>
      <c r="G305" s="1" t="s">
        <v>128</v>
      </c>
      <c r="H305" s="3" t="s">
        <v>2994</v>
      </c>
      <c r="I305" s="110" t="s">
        <v>79</v>
      </c>
      <c r="K305" s="87"/>
      <c r="M305" s="395">
        <v>29</v>
      </c>
      <c r="N305" s="395">
        <v>44</v>
      </c>
      <c r="O305" s="395">
        <v>97</v>
      </c>
      <c r="P305" s="395">
        <v>189</v>
      </c>
      <c r="Q305" s="395">
        <v>221</v>
      </c>
      <c r="R305" s="395">
        <v>241</v>
      </c>
      <c r="S305" s="395">
        <v>210</v>
      </c>
      <c r="T305" s="395">
        <v>180</v>
      </c>
      <c r="U305" s="395">
        <v>127</v>
      </c>
      <c r="V305" s="395">
        <v>77</v>
      </c>
      <c r="W305" s="395">
        <v>31</v>
      </c>
      <c r="X305" s="395">
        <v>17</v>
      </c>
    </row>
    <row r="306" spans="1:40" ht="15.6" hidden="1">
      <c r="B306" s="82"/>
      <c r="G306" s="1" t="s">
        <v>129</v>
      </c>
      <c r="H306" s="3" t="s">
        <v>2994</v>
      </c>
      <c r="I306" s="110" t="s">
        <v>79</v>
      </c>
      <c r="K306" s="87"/>
      <c r="M306" s="396">
        <v>50</v>
      </c>
      <c r="N306" s="396">
        <v>55</v>
      </c>
      <c r="O306" s="396">
        <v>121</v>
      </c>
      <c r="P306" s="396">
        <v>217</v>
      </c>
      <c r="Q306" s="396">
        <v>230</v>
      </c>
      <c r="R306" s="396">
        <v>241</v>
      </c>
      <c r="S306" s="396">
        <v>208</v>
      </c>
      <c r="T306" s="396">
        <v>199</v>
      </c>
      <c r="U306" s="396">
        <v>157</v>
      </c>
      <c r="V306" s="396">
        <v>110</v>
      </c>
      <c r="W306" s="396">
        <v>41</v>
      </c>
      <c r="X306" s="396">
        <v>26</v>
      </c>
    </row>
    <row r="307" spans="1:40" ht="15.6" hidden="1">
      <c r="B307" s="82"/>
      <c r="G307" s="1" t="s">
        <v>130</v>
      </c>
      <c r="H307" s="3" t="s">
        <v>2994</v>
      </c>
      <c r="I307" s="110" t="s">
        <v>79</v>
      </c>
      <c r="K307" s="87"/>
      <c r="M307" s="11">
        <v>57</v>
      </c>
      <c r="N307" s="11">
        <v>56</v>
      </c>
      <c r="O307" s="11">
        <v>124</v>
      </c>
      <c r="P307" s="11">
        <v>214</v>
      </c>
      <c r="Q307" s="11">
        <v>218</v>
      </c>
      <c r="R307" s="11">
        <v>224</v>
      </c>
      <c r="S307" s="11">
        <v>194</v>
      </c>
      <c r="T307" s="11">
        <v>193</v>
      </c>
      <c r="U307" s="11">
        <v>160</v>
      </c>
      <c r="V307" s="11">
        <v>119</v>
      </c>
      <c r="W307" s="11">
        <v>44</v>
      </c>
      <c r="X307" s="11">
        <v>29</v>
      </c>
    </row>
    <row r="308" spans="1:40" ht="15.6" hidden="1">
      <c r="B308" s="82"/>
      <c r="G308" s="1" t="s">
        <v>131</v>
      </c>
      <c r="H308" s="3" t="s">
        <v>2994</v>
      </c>
      <c r="I308" s="110" t="s">
        <v>79</v>
      </c>
      <c r="K308" s="87"/>
      <c r="M308" s="11">
        <v>61</v>
      </c>
      <c r="N308" s="11">
        <v>55</v>
      </c>
      <c r="O308" s="11">
        <v>121</v>
      </c>
      <c r="P308" s="11">
        <v>201</v>
      </c>
      <c r="Q308" s="11">
        <v>196</v>
      </c>
      <c r="R308" s="11">
        <v>197</v>
      </c>
      <c r="S308" s="11">
        <v>172</v>
      </c>
      <c r="T308" s="11">
        <v>178</v>
      </c>
      <c r="U308" s="11">
        <v>155</v>
      </c>
      <c r="V308" s="11">
        <v>121</v>
      </c>
      <c r="W308" s="11">
        <v>44</v>
      </c>
      <c r="X308" s="11">
        <v>31</v>
      </c>
    </row>
    <row r="309" spans="1:40" ht="15.6" hidden="1">
      <c r="B309" s="82"/>
      <c r="G309" s="1" t="s">
        <v>132</v>
      </c>
      <c r="H309" s="3" t="s">
        <v>2994</v>
      </c>
      <c r="I309" s="110" t="s">
        <v>79</v>
      </c>
      <c r="J309" s="5"/>
      <c r="K309" s="87"/>
      <c r="M309" s="395">
        <v>59</v>
      </c>
      <c r="N309" s="395">
        <v>47</v>
      </c>
      <c r="O309" s="395">
        <v>98</v>
      </c>
      <c r="P309" s="395">
        <v>147</v>
      </c>
      <c r="Q309" s="395">
        <v>132</v>
      </c>
      <c r="R309" s="395">
        <v>124</v>
      </c>
      <c r="S309" s="395">
        <v>113</v>
      </c>
      <c r="T309" s="395">
        <v>127</v>
      </c>
      <c r="U309" s="395">
        <v>123</v>
      </c>
      <c r="V309" s="395">
        <v>106</v>
      </c>
      <c r="W309" s="395">
        <v>39</v>
      </c>
      <c r="X309" s="395">
        <v>29</v>
      </c>
    </row>
    <row r="310" spans="1:40" ht="15.6" hidden="1">
      <c r="B310" s="82"/>
      <c r="G310" s="1" t="s">
        <v>956</v>
      </c>
      <c r="H310" s="3" t="s">
        <v>2994</v>
      </c>
      <c r="I310" s="110" t="s">
        <v>79</v>
      </c>
      <c r="J310" s="5"/>
      <c r="K310" s="87"/>
      <c r="M310" s="396">
        <v>46</v>
      </c>
      <c r="N310" s="396">
        <v>52</v>
      </c>
      <c r="O310" s="396">
        <v>114</v>
      </c>
      <c r="P310" s="396">
        <v>214</v>
      </c>
      <c r="Q310" s="396">
        <v>227</v>
      </c>
      <c r="R310" s="396">
        <v>242</v>
      </c>
      <c r="S310" s="396">
        <v>212</v>
      </c>
      <c r="T310" s="396">
        <v>194</v>
      </c>
      <c r="U310" s="396">
        <v>147</v>
      </c>
      <c r="V310" s="396">
        <v>102</v>
      </c>
      <c r="W310" s="396">
        <v>38</v>
      </c>
      <c r="X310" s="396">
        <v>23</v>
      </c>
    </row>
    <row r="311" spans="1:40" ht="15.6" hidden="1">
      <c r="B311" s="82"/>
      <c r="G311" s="1" t="s">
        <v>957</v>
      </c>
      <c r="H311" s="3" t="s">
        <v>2994</v>
      </c>
      <c r="I311" s="110" t="s">
        <v>79</v>
      </c>
      <c r="K311" s="87"/>
      <c r="M311" s="11">
        <v>51</v>
      </c>
      <c r="N311" s="11">
        <v>53</v>
      </c>
      <c r="O311" s="11">
        <v>116</v>
      </c>
      <c r="P311" s="11">
        <v>212</v>
      </c>
      <c r="Q311" s="11">
        <v>217</v>
      </c>
      <c r="R311" s="11">
        <v>229</v>
      </c>
      <c r="S311" s="11">
        <v>201</v>
      </c>
      <c r="T311" s="11">
        <v>188</v>
      </c>
      <c r="U311" s="11">
        <v>148</v>
      </c>
      <c r="V311" s="11">
        <v>107</v>
      </c>
      <c r="W311" s="11">
        <v>39</v>
      </c>
      <c r="X311" s="11">
        <v>25</v>
      </c>
    </row>
    <row r="312" spans="1:40" s="129" customFormat="1" ht="15.6" hidden="1">
      <c r="A312" s="1"/>
      <c r="B312" s="82"/>
      <c r="C312" s="1"/>
      <c r="D312" s="1"/>
      <c r="E312" s="1"/>
      <c r="F312" s="1"/>
      <c r="G312" s="1" t="s">
        <v>958</v>
      </c>
      <c r="H312" s="3" t="s">
        <v>2994</v>
      </c>
      <c r="I312" s="110" t="s">
        <v>79</v>
      </c>
      <c r="J312" s="1"/>
      <c r="K312" s="87"/>
      <c r="M312" s="11">
        <v>54</v>
      </c>
      <c r="N312" s="11">
        <v>51</v>
      </c>
      <c r="O312" s="11">
        <v>112</v>
      </c>
      <c r="P312" s="11">
        <v>201</v>
      </c>
      <c r="Q312" s="11">
        <v>198</v>
      </c>
      <c r="R312" s="11">
        <v>207</v>
      </c>
      <c r="S312" s="11">
        <v>183</v>
      </c>
      <c r="T312" s="11">
        <v>175</v>
      </c>
      <c r="U312" s="11">
        <v>141</v>
      </c>
      <c r="V312" s="11">
        <v>107</v>
      </c>
      <c r="W312" s="11">
        <v>38</v>
      </c>
      <c r="X312" s="11">
        <v>26</v>
      </c>
      <c r="AA312" s="571"/>
      <c r="AB312" s="571"/>
      <c r="AC312" s="571"/>
      <c r="AD312" s="571"/>
      <c r="AE312" s="571"/>
      <c r="AF312" s="571"/>
      <c r="AG312" s="571"/>
      <c r="AH312" s="571"/>
      <c r="AI312" s="571"/>
      <c r="AJ312" s="571"/>
      <c r="AK312" s="571"/>
      <c r="AL312" s="571"/>
      <c r="AM312" s="571"/>
      <c r="AN312" s="571"/>
    </row>
    <row r="313" spans="1:40" s="129" customFormat="1" ht="15.6" hidden="1">
      <c r="A313" s="1"/>
      <c r="B313" s="82"/>
      <c r="C313" s="1"/>
      <c r="D313" s="1"/>
      <c r="E313" s="1"/>
      <c r="F313" s="1"/>
      <c r="G313" s="1" t="s">
        <v>959</v>
      </c>
      <c r="H313" s="3" t="s">
        <v>2994</v>
      </c>
      <c r="I313" s="110" t="s">
        <v>79</v>
      </c>
      <c r="J313" s="1"/>
      <c r="K313" s="87"/>
      <c r="M313" s="395">
        <v>50</v>
      </c>
      <c r="N313" s="395">
        <v>42</v>
      </c>
      <c r="O313" s="395">
        <v>90</v>
      </c>
      <c r="P313" s="395">
        <v>156</v>
      </c>
      <c r="Q313" s="395">
        <v>143</v>
      </c>
      <c r="R313" s="395">
        <v>146</v>
      </c>
      <c r="S313" s="395">
        <v>132</v>
      </c>
      <c r="T313" s="395">
        <v>130</v>
      </c>
      <c r="U313" s="395">
        <v>111</v>
      </c>
      <c r="V313" s="395">
        <v>91</v>
      </c>
      <c r="W313" s="395">
        <v>32</v>
      </c>
      <c r="X313" s="395">
        <v>23</v>
      </c>
      <c r="AA313" s="571"/>
      <c r="AB313" s="571"/>
      <c r="AC313" s="571"/>
      <c r="AD313" s="571"/>
      <c r="AE313" s="571"/>
      <c r="AF313" s="571"/>
      <c r="AG313" s="571"/>
      <c r="AH313" s="571"/>
      <c r="AI313" s="571"/>
      <c r="AJ313" s="571"/>
      <c r="AK313" s="571"/>
      <c r="AL313" s="571"/>
      <c r="AM313" s="571"/>
      <c r="AN313" s="571"/>
    </row>
    <row r="314" spans="1:40" s="129" customFormat="1" ht="15.6" hidden="1">
      <c r="A314" s="1"/>
      <c r="B314" s="82"/>
      <c r="C314" s="1"/>
      <c r="D314" s="1"/>
      <c r="E314" s="1"/>
      <c r="F314" s="1"/>
      <c r="G314" s="1" t="s">
        <v>960</v>
      </c>
      <c r="H314" s="3" t="s">
        <v>2994</v>
      </c>
      <c r="I314" s="110" t="s">
        <v>79</v>
      </c>
      <c r="J314" s="5"/>
      <c r="M314" s="396">
        <v>40</v>
      </c>
      <c r="N314" s="396">
        <v>49</v>
      </c>
      <c r="O314" s="396">
        <v>110</v>
      </c>
      <c r="P314" s="396">
        <v>201</v>
      </c>
      <c r="Q314" s="396">
        <v>222</v>
      </c>
      <c r="R314" s="396">
        <v>234</v>
      </c>
      <c r="S314" s="396">
        <v>201</v>
      </c>
      <c r="T314" s="396">
        <v>188</v>
      </c>
      <c r="U314" s="396">
        <v>145</v>
      </c>
      <c r="V314" s="396">
        <v>96</v>
      </c>
      <c r="W314" s="396">
        <v>37</v>
      </c>
      <c r="X314" s="396">
        <v>23</v>
      </c>
      <c r="AA314" s="571"/>
      <c r="AB314" s="571"/>
      <c r="AC314" s="571"/>
      <c r="AD314" s="571"/>
      <c r="AE314" s="571"/>
      <c r="AF314" s="571"/>
      <c r="AG314" s="571"/>
      <c r="AH314" s="571"/>
      <c r="AI314" s="571"/>
      <c r="AJ314" s="571"/>
      <c r="AK314" s="571"/>
      <c r="AL314" s="571"/>
      <c r="AM314" s="571"/>
      <c r="AN314" s="571"/>
    </row>
    <row r="315" spans="1:40" s="129" customFormat="1" ht="15.6" hidden="1">
      <c r="A315" s="1"/>
      <c r="B315" s="82"/>
      <c r="C315" s="1"/>
      <c r="D315" s="1"/>
      <c r="E315" s="1"/>
      <c r="F315" s="1"/>
      <c r="G315" s="1" t="s">
        <v>961</v>
      </c>
      <c r="H315" s="3" t="s">
        <v>2994</v>
      </c>
      <c r="I315" s="110" t="s">
        <v>79</v>
      </c>
      <c r="J315" s="5"/>
      <c r="M315" s="11">
        <v>43</v>
      </c>
      <c r="N315" s="11">
        <v>48</v>
      </c>
      <c r="O315" s="11">
        <v>110</v>
      </c>
      <c r="P315" s="11">
        <v>195</v>
      </c>
      <c r="Q315" s="11">
        <v>209</v>
      </c>
      <c r="R315" s="11">
        <v>218</v>
      </c>
      <c r="S315" s="11">
        <v>188</v>
      </c>
      <c r="T315" s="11">
        <v>181</v>
      </c>
      <c r="U315" s="11">
        <v>145</v>
      </c>
      <c r="V315" s="11">
        <v>99</v>
      </c>
      <c r="W315" s="11">
        <v>38</v>
      </c>
      <c r="X315" s="11">
        <v>24</v>
      </c>
      <c r="AA315" s="571"/>
      <c r="AB315" s="571"/>
      <c r="AC315" s="571"/>
      <c r="AD315" s="571"/>
      <c r="AE315" s="571"/>
      <c r="AF315" s="571"/>
      <c r="AG315" s="571"/>
      <c r="AH315" s="571"/>
      <c r="AI315" s="571"/>
      <c r="AJ315" s="571"/>
      <c r="AK315" s="571"/>
      <c r="AL315" s="571"/>
      <c r="AM315" s="571"/>
      <c r="AN315" s="571"/>
    </row>
    <row r="316" spans="1:40" s="129" customFormat="1" ht="15.6" hidden="1">
      <c r="A316" s="1"/>
      <c r="B316" s="82"/>
      <c r="C316" s="1"/>
      <c r="D316" s="1"/>
      <c r="E316" s="1"/>
      <c r="F316" s="1"/>
      <c r="G316" s="1" t="s">
        <v>962</v>
      </c>
      <c r="H316" s="3" t="s">
        <v>2994</v>
      </c>
      <c r="I316" s="110" t="s">
        <v>79</v>
      </c>
      <c r="J316" s="5"/>
      <c r="M316" s="11">
        <v>44</v>
      </c>
      <c r="N316" s="11">
        <v>46</v>
      </c>
      <c r="O316" s="11">
        <v>105</v>
      </c>
      <c r="P316" s="11">
        <v>181</v>
      </c>
      <c r="Q316" s="11">
        <v>190</v>
      </c>
      <c r="R316" s="11">
        <v>195</v>
      </c>
      <c r="S316" s="11">
        <v>169</v>
      </c>
      <c r="T316" s="11">
        <v>167</v>
      </c>
      <c r="U316" s="11">
        <v>138</v>
      </c>
      <c r="V316" s="11">
        <v>97</v>
      </c>
      <c r="W316" s="11">
        <v>37</v>
      </c>
      <c r="X316" s="11">
        <v>25</v>
      </c>
      <c r="AA316" s="571"/>
      <c r="AB316" s="571"/>
      <c r="AC316" s="571"/>
      <c r="AD316" s="571"/>
      <c r="AE316" s="571"/>
      <c r="AF316" s="571"/>
      <c r="AG316" s="571"/>
      <c r="AH316" s="571"/>
      <c r="AI316" s="571"/>
      <c r="AJ316" s="571"/>
      <c r="AK316" s="571"/>
      <c r="AL316" s="571"/>
      <c r="AM316" s="571"/>
      <c r="AN316" s="571"/>
    </row>
    <row r="317" spans="1:40" s="129" customFormat="1" ht="15.6" hidden="1">
      <c r="A317" s="1"/>
      <c r="B317" s="82"/>
      <c r="C317" s="1"/>
      <c r="D317" s="1"/>
      <c r="E317" s="1"/>
      <c r="F317" s="1"/>
      <c r="G317" s="1" t="s">
        <v>963</v>
      </c>
      <c r="H317" s="3" t="s">
        <v>2994</v>
      </c>
      <c r="I317" s="110" t="s">
        <v>79</v>
      </c>
      <c r="J317" s="5"/>
      <c r="M317" s="395">
        <v>40</v>
      </c>
      <c r="N317" s="395">
        <v>36</v>
      </c>
      <c r="O317" s="395">
        <v>83</v>
      </c>
      <c r="P317" s="395">
        <v>136</v>
      </c>
      <c r="Q317" s="395">
        <v>137</v>
      </c>
      <c r="R317" s="395">
        <v>135</v>
      </c>
      <c r="S317" s="395">
        <v>120</v>
      </c>
      <c r="T317" s="395">
        <v>123</v>
      </c>
      <c r="U317" s="395">
        <v>108</v>
      </c>
      <c r="V317" s="395">
        <v>80</v>
      </c>
      <c r="W317" s="395">
        <v>31</v>
      </c>
      <c r="X317" s="395">
        <v>22</v>
      </c>
      <c r="AA317" s="571"/>
      <c r="AB317" s="571"/>
      <c r="AC317" s="571"/>
      <c r="AD317" s="571"/>
      <c r="AE317" s="571"/>
      <c r="AF317" s="571"/>
      <c r="AG317" s="571"/>
      <c r="AH317" s="571"/>
      <c r="AI317" s="571"/>
      <c r="AJ317" s="571"/>
      <c r="AK317" s="571"/>
      <c r="AL317" s="571"/>
      <c r="AM317" s="571"/>
      <c r="AN317" s="571"/>
    </row>
    <row r="318" spans="1:40" s="129" customFormat="1" ht="15.6" hidden="1">
      <c r="A318" s="1"/>
      <c r="B318" s="82"/>
      <c r="C318" s="1"/>
      <c r="D318" s="1"/>
      <c r="E318" s="1"/>
      <c r="F318" s="1"/>
      <c r="G318" s="1" t="s">
        <v>964</v>
      </c>
      <c r="H318" s="3" t="s">
        <v>2994</v>
      </c>
      <c r="I318" s="110" t="s">
        <v>79</v>
      </c>
      <c r="J318" s="5"/>
      <c r="M318" s="396">
        <v>31</v>
      </c>
      <c r="N318" s="396">
        <v>43</v>
      </c>
      <c r="O318" s="396">
        <v>95</v>
      </c>
      <c r="P318" s="396">
        <v>189</v>
      </c>
      <c r="Q318" s="396">
        <v>211</v>
      </c>
      <c r="R318" s="396">
        <v>231</v>
      </c>
      <c r="S318" s="396">
        <v>205</v>
      </c>
      <c r="T318" s="396">
        <v>173</v>
      </c>
      <c r="U318" s="396">
        <v>122</v>
      </c>
      <c r="V318" s="396">
        <v>77</v>
      </c>
      <c r="W318" s="396">
        <v>30</v>
      </c>
      <c r="X318" s="396">
        <v>17</v>
      </c>
      <c r="AA318" s="571"/>
      <c r="AB318" s="571"/>
      <c r="AC318" s="571"/>
      <c r="AD318" s="571"/>
      <c r="AE318" s="571"/>
      <c r="AF318" s="571"/>
      <c r="AG318" s="571"/>
      <c r="AH318" s="571"/>
      <c r="AI318" s="571"/>
      <c r="AJ318" s="571"/>
      <c r="AK318" s="571"/>
      <c r="AL318" s="571"/>
      <c r="AM318" s="571"/>
      <c r="AN318" s="571"/>
    </row>
    <row r="319" spans="1:40" s="129" customFormat="1" ht="15.6" hidden="1">
      <c r="A319" s="1"/>
      <c r="B319" s="82"/>
      <c r="C319" s="1"/>
      <c r="D319" s="1"/>
      <c r="E319" s="1"/>
      <c r="F319" s="1"/>
      <c r="G319" s="1" t="s">
        <v>965</v>
      </c>
      <c r="H319" s="3" t="s">
        <v>2994</v>
      </c>
      <c r="I319" s="110" t="s">
        <v>79</v>
      </c>
      <c r="J319" s="5"/>
      <c r="M319" s="11">
        <v>31</v>
      </c>
      <c r="N319" s="11">
        <v>41</v>
      </c>
      <c r="O319" s="11">
        <v>91</v>
      </c>
      <c r="P319" s="11">
        <v>181</v>
      </c>
      <c r="Q319" s="11">
        <v>198</v>
      </c>
      <c r="R319" s="11">
        <v>217</v>
      </c>
      <c r="S319" s="11">
        <v>194</v>
      </c>
      <c r="T319" s="11">
        <v>163</v>
      </c>
      <c r="U319" s="11">
        <v>115</v>
      </c>
      <c r="V319" s="11">
        <v>74</v>
      </c>
      <c r="W319" s="11">
        <v>28</v>
      </c>
      <c r="X319" s="11">
        <v>16</v>
      </c>
      <c r="AA319" s="571"/>
      <c r="AB319" s="571"/>
      <c r="AC319" s="571"/>
      <c r="AD319" s="571"/>
      <c r="AE319" s="571"/>
      <c r="AF319" s="571"/>
      <c r="AG319" s="571"/>
      <c r="AH319" s="571"/>
      <c r="AI319" s="571"/>
      <c r="AJ319" s="571"/>
      <c r="AK319" s="571"/>
      <c r="AL319" s="571"/>
      <c r="AM319" s="571"/>
      <c r="AN319" s="571"/>
    </row>
    <row r="320" spans="1:40" s="129" customFormat="1" ht="15.6" hidden="1">
      <c r="A320" s="1"/>
      <c r="B320" s="82"/>
      <c r="C320" s="1"/>
      <c r="D320" s="1"/>
      <c r="E320" s="1"/>
      <c r="F320" s="1"/>
      <c r="G320" s="1" t="s">
        <v>967</v>
      </c>
      <c r="H320" s="3" t="s">
        <v>2994</v>
      </c>
      <c r="I320" s="110" t="s">
        <v>79</v>
      </c>
      <c r="J320" s="5"/>
      <c r="M320" s="11">
        <v>30</v>
      </c>
      <c r="N320" s="11">
        <v>38</v>
      </c>
      <c r="O320" s="11">
        <v>85</v>
      </c>
      <c r="P320" s="11">
        <v>170</v>
      </c>
      <c r="Q320" s="11">
        <v>180</v>
      </c>
      <c r="R320" s="11">
        <v>198</v>
      </c>
      <c r="S320" s="11">
        <v>179</v>
      </c>
      <c r="T320" s="11">
        <v>150</v>
      </c>
      <c r="U320" s="11">
        <v>106</v>
      </c>
      <c r="V320" s="11">
        <v>70</v>
      </c>
      <c r="W320" s="11">
        <v>26</v>
      </c>
      <c r="X320" s="11">
        <v>15</v>
      </c>
      <c r="AA320" s="571"/>
      <c r="AB320" s="571"/>
      <c r="AC320" s="571"/>
      <c r="AD320" s="571"/>
      <c r="AE320" s="571"/>
      <c r="AF320" s="571"/>
      <c r="AG320" s="571"/>
      <c r="AH320" s="571"/>
      <c r="AI320" s="571"/>
      <c r="AJ320" s="571"/>
      <c r="AK320" s="571"/>
      <c r="AL320" s="571"/>
      <c r="AM320" s="571"/>
      <c r="AN320" s="571"/>
    </row>
    <row r="321" spans="1:40" s="129" customFormat="1" ht="15.6" hidden="1">
      <c r="A321" s="1"/>
      <c r="B321" s="82"/>
      <c r="C321" s="1"/>
      <c r="D321" s="1"/>
      <c r="E321" s="1"/>
      <c r="F321" s="1"/>
      <c r="G321" s="1" t="s">
        <v>966</v>
      </c>
      <c r="H321" s="3" t="s">
        <v>2994</v>
      </c>
      <c r="I321" s="110" t="s">
        <v>79</v>
      </c>
      <c r="J321" s="5"/>
      <c r="M321" s="395">
        <v>25</v>
      </c>
      <c r="N321" s="395">
        <v>29</v>
      </c>
      <c r="O321" s="395">
        <v>68</v>
      </c>
      <c r="P321" s="395">
        <v>134</v>
      </c>
      <c r="Q321" s="395">
        <v>137</v>
      </c>
      <c r="R321" s="395">
        <v>150</v>
      </c>
      <c r="S321" s="395">
        <v>138</v>
      </c>
      <c r="T321" s="395">
        <v>115</v>
      </c>
      <c r="U321" s="395">
        <v>83</v>
      </c>
      <c r="V321" s="395">
        <v>55</v>
      </c>
      <c r="W321" s="395">
        <v>20</v>
      </c>
      <c r="X321" s="395">
        <v>12</v>
      </c>
      <c r="AA321" s="571"/>
      <c r="AB321" s="571"/>
      <c r="AC321" s="571"/>
      <c r="AD321" s="571"/>
      <c r="AE321" s="571"/>
      <c r="AF321" s="571"/>
      <c r="AG321" s="571"/>
      <c r="AH321" s="571"/>
      <c r="AI321" s="571"/>
      <c r="AJ321" s="571"/>
      <c r="AK321" s="571"/>
      <c r="AL321" s="571"/>
      <c r="AM321" s="571"/>
      <c r="AN321" s="571"/>
    </row>
    <row r="322" spans="1:40" s="129" customFormat="1" ht="15.6" hidden="1">
      <c r="A322" s="1"/>
      <c r="B322" s="82"/>
      <c r="C322" s="1"/>
      <c r="D322" s="1"/>
      <c r="E322" s="1"/>
      <c r="F322" s="1"/>
      <c r="G322" s="1" t="s">
        <v>968</v>
      </c>
      <c r="H322" s="3" t="s">
        <v>2994</v>
      </c>
      <c r="I322" s="110" t="s">
        <v>79</v>
      </c>
      <c r="J322" s="392"/>
      <c r="M322" s="396">
        <v>25</v>
      </c>
      <c r="N322" s="396">
        <v>40</v>
      </c>
      <c r="O322" s="396">
        <v>90</v>
      </c>
      <c r="P322" s="396">
        <v>172</v>
      </c>
      <c r="Q322" s="396">
        <v>202</v>
      </c>
      <c r="R322" s="396">
        <v>219</v>
      </c>
      <c r="S322" s="396">
        <v>188</v>
      </c>
      <c r="T322" s="396">
        <v>165</v>
      </c>
      <c r="U322" s="396">
        <v>120</v>
      </c>
      <c r="V322" s="396">
        <v>70</v>
      </c>
      <c r="W322" s="396">
        <v>29</v>
      </c>
      <c r="X322" s="396">
        <v>16</v>
      </c>
      <c r="AA322" s="571"/>
      <c r="AB322" s="571"/>
      <c r="AC322" s="571"/>
      <c r="AD322" s="571"/>
      <c r="AE322" s="571"/>
      <c r="AF322" s="571"/>
      <c r="AG322" s="571"/>
      <c r="AH322" s="571"/>
      <c r="AI322" s="571"/>
      <c r="AJ322" s="571"/>
      <c r="AK322" s="571"/>
      <c r="AL322" s="571"/>
      <c r="AM322" s="571"/>
      <c r="AN322" s="571"/>
    </row>
    <row r="323" spans="1:40" s="129" customFormat="1" ht="15.6" hidden="1">
      <c r="A323" s="1"/>
      <c r="B323" s="82"/>
      <c r="C323" s="1"/>
      <c r="D323" s="1"/>
      <c r="E323" s="1"/>
      <c r="F323" s="1"/>
      <c r="G323" s="1" t="s">
        <v>969</v>
      </c>
      <c r="H323" s="3" t="s">
        <v>2994</v>
      </c>
      <c r="I323" s="110" t="s">
        <v>79</v>
      </c>
      <c r="J323" s="5"/>
      <c r="M323" s="11">
        <v>24</v>
      </c>
      <c r="N323" s="11">
        <v>36</v>
      </c>
      <c r="O323" s="11">
        <v>84</v>
      </c>
      <c r="P323" s="11">
        <v>159</v>
      </c>
      <c r="Q323" s="11">
        <v>187</v>
      </c>
      <c r="R323" s="11">
        <v>201</v>
      </c>
      <c r="S323" s="11">
        <v>174</v>
      </c>
      <c r="T323" s="11">
        <v>153</v>
      </c>
      <c r="U323" s="11">
        <v>112</v>
      </c>
      <c r="V323" s="11">
        <v>65</v>
      </c>
      <c r="W323" s="11">
        <v>27</v>
      </c>
      <c r="X323" s="11">
        <v>16</v>
      </c>
      <c r="AA323" s="571"/>
      <c r="AB323" s="571"/>
      <c r="AC323" s="571"/>
      <c r="AD323" s="571"/>
      <c r="AE323" s="571"/>
      <c r="AF323" s="571"/>
      <c r="AG323" s="571"/>
      <c r="AH323" s="571"/>
      <c r="AI323" s="571"/>
      <c r="AJ323" s="571"/>
      <c r="AK323" s="571"/>
      <c r="AL323" s="571"/>
      <c r="AM323" s="571"/>
      <c r="AN323" s="571"/>
    </row>
    <row r="324" spans="1:40" s="129" customFormat="1" ht="15.6" hidden="1">
      <c r="A324" s="1"/>
      <c r="B324" s="82"/>
      <c r="C324" s="1"/>
      <c r="D324" s="1"/>
      <c r="E324" s="1"/>
      <c r="F324" s="1"/>
      <c r="G324" s="1" t="s">
        <v>970</v>
      </c>
      <c r="H324" s="3" t="s">
        <v>2994</v>
      </c>
      <c r="I324" s="110" t="s">
        <v>79</v>
      </c>
      <c r="J324" s="1"/>
      <c r="K324" s="87"/>
      <c r="M324" s="11">
        <v>22</v>
      </c>
      <c r="N324" s="11">
        <v>33</v>
      </c>
      <c r="O324" s="11">
        <v>78</v>
      </c>
      <c r="P324" s="11">
        <v>146</v>
      </c>
      <c r="Q324" s="11">
        <v>169</v>
      </c>
      <c r="R324" s="11">
        <v>181</v>
      </c>
      <c r="S324" s="11">
        <v>157</v>
      </c>
      <c r="T324" s="11">
        <v>139</v>
      </c>
      <c r="U324" s="11">
        <v>103</v>
      </c>
      <c r="V324" s="11">
        <v>60</v>
      </c>
      <c r="W324" s="11">
        <v>25</v>
      </c>
      <c r="X324" s="11">
        <v>14</v>
      </c>
      <c r="AA324" s="571"/>
      <c r="AB324" s="571"/>
      <c r="AC324" s="571"/>
      <c r="AD324" s="571"/>
      <c r="AE324" s="571"/>
      <c r="AF324" s="571"/>
      <c r="AG324" s="571"/>
      <c r="AH324" s="571"/>
      <c r="AI324" s="571"/>
      <c r="AJ324" s="571"/>
      <c r="AK324" s="571"/>
      <c r="AL324" s="571"/>
      <c r="AM324" s="571"/>
      <c r="AN324" s="571"/>
    </row>
    <row r="325" spans="1:40" s="129" customFormat="1" ht="15.6" hidden="1">
      <c r="A325" s="1"/>
      <c r="B325" s="82"/>
      <c r="C325" s="1"/>
      <c r="D325" s="1"/>
      <c r="E325" s="1"/>
      <c r="F325" s="1"/>
      <c r="G325" s="1" t="s">
        <v>971</v>
      </c>
      <c r="H325" s="3" t="s">
        <v>2994</v>
      </c>
      <c r="I325" s="110" t="s">
        <v>79</v>
      </c>
      <c r="J325" s="1"/>
      <c r="K325" s="87"/>
      <c r="M325" s="395">
        <v>17</v>
      </c>
      <c r="N325" s="395">
        <v>24</v>
      </c>
      <c r="O325" s="395">
        <v>60</v>
      </c>
      <c r="P325" s="395">
        <v>114</v>
      </c>
      <c r="Q325" s="395">
        <v>127</v>
      </c>
      <c r="R325" s="395">
        <v>136</v>
      </c>
      <c r="S325" s="395">
        <v>117</v>
      </c>
      <c r="T325" s="395">
        <v>105</v>
      </c>
      <c r="U325" s="395">
        <v>79</v>
      </c>
      <c r="V325" s="395">
        <v>47</v>
      </c>
      <c r="W325" s="395">
        <v>19</v>
      </c>
      <c r="X325" s="395">
        <v>11</v>
      </c>
      <c r="AA325" s="571"/>
      <c r="AB325" s="571"/>
      <c r="AC325" s="571"/>
      <c r="AD325" s="571"/>
      <c r="AE325" s="571"/>
      <c r="AF325" s="571"/>
      <c r="AG325" s="571"/>
      <c r="AH325" s="571"/>
      <c r="AI325" s="571"/>
      <c r="AJ325" s="571"/>
      <c r="AK325" s="571"/>
      <c r="AL325" s="571"/>
      <c r="AM325" s="571"/>
      <c r="AN325" s="571"/>
    </row>
    <row r="326" spans="1:40" s="129" customFormat="1" ht="15.6" hidden="1">
      <c r="A326" s="1"/>
      <c r="B326" s="82"/>
      <c r="C326" s="1"/>
      <c r="D326" s="1"/>
      <c r="E326" s="1"/>
      <c r="F326" s="1"/>
      <c r="G326" s="1" t="s">
        <v>972</v>
      </c>
      <c r="H326" s="3" t="s">
        <v>2994</v>
      </c>
      <c r="I326" s="110" t="s">
        <v>79</v>
      </c>
      <c r="J326" s="392"/>
      <c r="K326" s="87"/>
      <c r="M326" s="396">
        <v>16</v>
      </c>
      <c r="N326" s="396">
        <v>32</v>
      </c>
      <c r="O326" s="396">
        <v>68</v>
      </c>
      <c r="P326" s="396">
        <v>139</v>
      </c>
      <c r="Q326" s="396">
        <v>178</v>
      </c>
      <c r="R326" s="396">
        <v>199</v>
      </c>
      <c r="S326" s="396">
        <v>173</v>
      </c>
      <c r="T326" s="396">
        <v>138</v>
      </c>
      <c r="U326" s="396">
        <v>91</v>
      </c>
      <c r="V326" s="396">
        <v>47</v>
      </c>
      <c r="W326" s="396">
        <v>22</v>
      </c>
      <c r="X326" s="396">
        <v>12</v>
      </c>
      <c r="AA326" s="571"/>
      <c r="AB326" s="571"/>
      <c r="AC326" s="571"/>
      <c r="AD326" s="571"/>
      <c r="AE326" s="571"/>
      <c r="AF326" s="571"/>
      <c r="AG326" s="571"/>
      <c r="AH326" s="571"/>
      <c r="AI326" s="571"/>
      <c r="AJ326" s="571"/>
      <c r="AK326" s="571"/>
      <c r="AL326" s="571"/>
      <c r="AM326" s="571"/>
      <c r="AN326" s="571"/>
    </row>
    <row r="327" spans="1:40" s="129" customFormat="1" ht="15.6" hidden="1">
      <c r="A327" s="1"/>
      <c r="B327" s="82"/>
      <c r="C327" s="1"/>
      <c r="D327" s="1"/>
      <c r="E327" s="1"/>
      <c r="F327" s="1"/>
      <c r="G327" s="1" t="s">
        <v>973</v>
      </c>
      <c r="H327" s="3" t="s">
        <v>2994</v>
      </c>
      <c r="I327" s="110" t="s">
        <v>79</v>
      </c>
      <c r="J327" s="1"/>
      <c r="K327" s="87"/>
      <c r="M327" s="11">
        <v>15</v>
      </c>
      <c r="N327" s="11">
        <v>28</v>
      </c>
      <c r="O327" s="11">
        <v>58</v>
      </c>
      <c r="P327" s="11">
        <v>116</v>
      </c>
      <c r="Q327" s="11">
        <v>151</v>
      </c>
      <c r="R327" s="11">
        <v>169</v>
      </c>
      <c r="S327" s="11">
        <v>149</v>
      </c>
      <c r="T327" s="11">
        <v>116</v>
      </c>
      <c r="U327" s="11">
        <v>77</v>
      </c>
      <c r="V327" s="11">
        <v>40</v>
      </c>
      <c r="W327" s="11">
        <v>20</v>
      </c>
      <c r="X327" s="11">
        <v>11</v>
      </c>
      <c r="AA327" s="571"/>
      <c r="AB327" s="571"/>
      <c r="AC327" s="571"/>
      <c r="AD327" s="571"/>
      <c r="AE327" s="571"/>
      <c r="AF327" s="571"/>
      <c r="AG327" s="571"/>
      <c r="AH327" s="571"/>
      <c r="AI327" s="571"/>
      <c r="AJ327" s="571"/>
      <c r="AK327" s="571"/>
      <c r="AL327" s="571"/>
      <c r="AM327" s="571"/>
      <c r="AN327" s="571"/>
    </row>
    <row r="328" spans="1:40" s="129" customFormat="1" ht="15.6" hidden="1">
      <c r="A328" s="1"/>
      <c r="B328" s="82"/>
      <c r="C328" s="1"/>
      <c r="D328" s="72"/>
      <c r="E328" s="72"/>
      <c r="F328" s="72"/>
      <c r="G328" s="1" t="s">
        <v>974</v>
      </c>
      <c r="H328" s="3" t="s">
        <v>2994</v>
      </c>
      <c r="I328" s="110" t="s">
        <v>79</v>
      </c>
      <c r="J328" s="1"/>
      <c r="K328" s="87"/>
      <c r="M328" s="11">
        <v>13</v>
      </c>
      <c r="N328" s="11">
        <v>25</v>
      </c>
      <c r="O328" s="11">
        <v>50</v>
      </c>
      <c r="P328" s="11">
        <v>101</v>
      </c>
      <c r="Q328" s="11">
        <v>130</v>
      </c>
      <c r="R328" s="11">
        <v>144</v>
      </c>
      <c r="S328" s="11">
        <v>128</v>
      </c>
      <c r="T328" s="11">
        <v>99</v>
      </c>
      <c r="U328" s="11">
        <v>66</v>
      </c>
      <c r="V328" s="11">
        <v>35</v>
      </c>
      <c r="W328" s="11">
        <v>18</v>
      </c>
      <c r="X328" s="11">
        <v>9</v>
      </c>
      <c r="AA328" s="571"/>
      <c r="AB328" s="571"/>
      <c r="AC328" s="571"/>
      <c r="AD328" s="571"/>
      <c r="AE328" s="571"/>
      <c r="AF328" s="571"/>
      <c r="AG328" s="571"/>
      <c r="AH328" s="571"/>
      <c r="AI328" s="571"/>
      <c r="AJ328" s="571"/>
      <c r="AK328" s="571"/>
      <c r="AL328" s="571"/>
      <c r="AM328" s="571"/>
      <c r="AN328" s="571"/>
    </row>
    <row r="329" spans="1:40" s="129" customFormat="1" ht="15.6" hidden="1">
      <c r="A329" s="1"/>
      <c r="B329" s="82"/>
      <c r="C329" s="1"/>
      <c r="D329" s="1"/>
      <c r="E329" s="1"/>
      <c r="F329" s="1"/>
      <c r="G329" s="1" t="s">
        <v>975</v>
      </c>
      <c r="H329" s="3" t="s">
        <v>2994</v>
      </c>
      <c r="I329" s="110" t="s">
        <v>79</v>
      </c>
      <c r="J329" s="1"/>
      <c r="K329" s="87"/>
      <c r="M329" s="395">
        <v>11</v>
      </c>
      <c r="N329" s="395">
        <v>18</v>
      </c>
      <c r="O329" s="395">
        <v>38</v>
      </c>
      <c r="P329" s="395">
        <v>78</v>
      </c>
      <c r="Q329" s="395">
        <v>96</v>
      </c>
      <c r="R329" s="395">
        <v>108</v>
      </c>
      <c r="S329" s="395">
        <v>95</v>
      </c>
      <c r="T329" s="395">
        <v>74</v>
      </c>
      <c r="U329" s="395">
        <v>51</v>
      </c>
      <c r="V329" s="395">
        <v>28</v>
      </c>
      <c r="W329" s="395">
        <v>13</v>
      </c>
      <c r="X329" s="395">
        <v>7</v>
      </c>
      <c r="AA329" s="571"/>
      <c r="AB329" s="571"/>
      <c r="AC329" s="571"/>
      <c r="AD329" s="571"/>
      <c r="AE329" s="571"/>
      <c r="AF329" s="571"/>
      <c r="AG329" s="571"/>
      <c r="AH329" s="571"/>
      <c r="AI329" s="571"/>
      <c r="AJ329" s="571"/>
      <c r="AK329" s="571"/>
      <c r="AL329" s="571"/>
      <c r="AM329" s="571"/>
      <c r="AN329" s="571"/>
    </row>
    <row r="330" spans="1:40" s="129" customFormat="1" ht="15.6" hidden="1">
      <c r="B330" s="82"/>
      <c r="C330" s="1"/>
      <c r="D330" s="1"/>
      <c r="E330" s="1"/>
      <c r="F330" s="1"/>
      <c r="G330" s="1" t="s">
        <v>976</v>
      </c>
      <c r="H330" s="3" t="s">
        <v>2994</v>
      </c>
      <c r="I330" s="110" t="s">
        <v>79</v>
      </c>
      <c r="M330" s="396">
        <v>17</v>
      </c>
      <c r="N330" s="396">
        <v>34</v>
      </c>
      <c r="O330" s="396">
        <v>71</v>
      </c>
      <c r="P330" s="396">
        <v>151</v>
      </c>
      <c r="Q330" s="396">
        <v>185</v>
      </c>
      <c r="R330" s="396">
        <v>209</v>
      </c>
      <c r="S330" s="396">
        <v>187</v>
      </c>
      <c r="T330" s="396">
        <v>144</v>
      </c>
      <c r="U330" s="396">
        <v>93</v>
      </c>
      <c r="V330" s="396">
        <v>50</v>
      </c>
      <c r="W330" s="396">
        <v>22</v>
      </c>
      <c r="X330" s="396">
        <v>12</v>
      </c>
      <c r="AA330" s="571"/>
      <c r="AB330" s="571"/>
      <c r="AC330" s="571"/>
      <c r="AD330" s="571"/>
      <c r="AE330" s="571"/>
      <c r="AF330" s="571"/>
      <c r="AG330" s="571"/>
      <c r="AH330" s="571"/>
      <c r="AI330" s="571"/>
      <c r="AJ330" s="571"/>
      <c r="AK330" s="571"/>
      <c r="AL330" s="571"/>
      <c r="AM330" s="571"/>
      <c r="AN330" s="571"/>
    </row>
    <row r="331" spans="1:40" s="129" customFormat="1" ht="15.6" hidden="1">
      <c r="B331" s="82"/>
      <c r="C331" s="1"/>
      <c r="D331" s="1"/>
      <c r="E331" s="1"/>
      <c r="F331" s="1"/>
      <c r="G331" s="1" t="s">
        <v>977</v>
      </c>
      <c r="H331" s="3" t="s">
        <v>2994</v>
      </c>
      <c r="I331" s="110" t="s">
        <v>79</v>
      </c>
      <c r="M331" s="11">
        <v>15</v>
      </c>
      <c r="N331" s="11">
        <v>29</v>
      </c>
      <c r="O331" s="11">
        <v>61</v>
      </c>
      <c r="P331" s="11">
        <v>131</v>
      </c>
      <c r="Q331" s="11">
        <v>160</v>
      </c>
      <c r="R331" s="11">
        <v>181</v>
      </c>
      <c r="S331" s="11">
        <v>167</v>
      </c>
      <c r="T331" s="11">
        <v>123</v>
      </c>
      <c r="U331" s="11">
        <v>79</v>
      </c>
      <c r="V331" s="11">
        <v>42</v>
      </c>
      <c r="W331" s="11">
        <v>20</v>
      </c>
      <c r="X331" s="11">
        <v>11</v>
      </c>
      <c r="AA331" s="571"/>
      <c r="AB331" s="571"/>
      <c r="AC331" s="571"/>
      <c r="AD331" s="571"/>
      <c r="AE331" s="571"/>
      <c r="AF331" s="571"/>
      <c r="AG331" s="571"/>
      <c r="AH331" s="571"/>
      <c r="AI331" s="571"/>
      <c r="AJ331" s="571"/>
      <c r="AK331" s="571"/>
      <c r="AL331" s="571"/>
      <c r="AM331" s="571"/>
      <c r="AN331" s="571"/>
    </row>
    <row r="332" spans="1:40" s="129" customFormat="1" ht="15.6" hidden="1">
      <c r="B332" s="82"/>
      <c r="C332" s="1"/>
      <c r="D332" s="1"/>
      <c r="E332" s="1"/>
      <c r="F332" s="1"/>
      <c r="G332" s="1" t="s">
        <v>978</v>
      </c>
      <c r="H332" s="3" t="s">
        <v>2994</v>
      </c>
      <c r="I332" s="110" t="s">
        <v>79</v>
      </c>
      <c r="M332" s="11">
        <v>14</v>
      </c>
      <c r="N332" s="11">
        <v>26</v>
      </c>
      <c r="O332" s="11">
        <v>54</v>
      </c>
      <c r="P332" s="11">
        <v>114</v>
      </c>
      <c r="Q332" s="11">
        <v>139</v>
      </c>
      <c r="R332" s="11">
        <v>157</v>
      </c>
      <c r="S332" s="11">
        <v>148</v>
      </c>
      <c r="T332" s="11">
        <v>107</v>
      </c>
      <c r="U332" s="11">
        <v>68</v>
      </c>
      <c r="V332" s="11">
        <v>36</v>
      </c>
      <c r="W332" s="11">
        <v>18</v>
      </c>
      <c r="X332" s="11">
        <v>9</v>
      </c>
      <c r="AA332" s="571"/>
      <c r="AB332" s="571"/>
      <c r="AC332" s="571"/>
      <c r="AD332" s="571"/>
      <c r="AE332" s="571"/>
      <c r="AF332" s="571"/>
      <c r="AG332" s="571"/>
      <c r="AH332" s="571"/>
      <c r="AI332" s="571"/>
      <c r="AJ332" s="571"/>
      <c r="AK332" s="571"/>
      <c r="AL332" s="571"/>
      <c r="AM332" s="571"/>
      <c r="AN332" s="571"/>
    </row>
    <row r="333" spans="1:40" s="129" customFormat="1" ht="15.6" hidden="1">
      <c r="B333" s="82"/>
      <c r="C333" s="1"/>
      <c r="D333" s="1"/>
      <c r="E333" s="1"/>
      <c r="F333" s="1"/>
      <c r="G333" s="1" t="s">
        <v>979</v>
      </c>
      <c r="H333" s="3" t="s">
        <v>2994</v>
      </c>
      <c r="I333" s="110" t="s">
        <v>79</v>
      </c>
      <c r="M333" s="395">
        <v>11</v>
      </c>
      <c r="N333" s="395">
        <v>19</v>
      </c>
      <c r="O333" s="395">
        <v>41</v>
      </c>
      <c r="P333" s="395">
        <v>87</v>
      </c>
      <c r="Q333" s="395">
        <v>104</v>
      </c>
      <c r="R333" s="395">
        <v>116</v>
      </c>
      <c r="S333" s="395">
        <v>112</v>
      </c>
      <c r="T333" s="395">
        <v>81</v>
      </c>
      <c r="U333" s="395">
        <v>52</v>
      </c>
      <c r="V333" s="395">
        <v>29</v>
      </c>
      <c r="W333" s="395">
        <v>13</v>
      </c>
      <c r="X333" s="395">
        <v>7</v>
      </c>
      <c r="AA333" s="571"/>
      <c r="AB333" s="571"/>
      <c r="AC333" s="571"/>
      <c r="AD333" s="571"/>
      <c r="AE333" s="571"/>
      <c r="AF333" s="571"/>
      <c r="AG333" s="571"/>
      <c r="AH333" s="571"/>
      <c r="AI333" s="571"/>
      <c r="AJ333" s="571"/>
      <c r="AK333" s="571"/>
      <c r="AL333" s="571"/>
      <c r="AM333" s="571"/>
      <c r="AN333" s="571"/>
    </row>
    <row r="334" spans="1:40" s="129" customFormat="1" ht="15.6" hidden="1">
      <c r="B334" s="82"/>
      <c r="C334" s="1"/>
      <c r="D334" s="1"/>
      <c r="E334" s="1"/>
      <c r="F334" s="1"/>
      <c r="G334" s="1" t="s">
        <v>133</v>
      </c>
      <c r="H334" s="3" t="s">
        <v>2994</v>
      </c>
      <c r="I334" s="110" t="s">
        <v>79</v>
      </c>
      <c r="M334" s="396">
        <v>16</v>
      </c>
      <c r="N334" s="396">
        <v>29</v>
      </c>
      <c r="O334" s="396">
        <v>56</v>
      </c>
      <c r="P334" s="396">
        <v>128</v>
      </c>
      <c r="Q334" s="396">
        <v>172</v>
      </c>
      <c r="R334" s="396">
        <v>197</v>
      </c>
      <c r="S334" s="396">
        <v>175</v>
      </c>
      <c r="T334" s="396">
        <v>129</v>
      </c>
      <c r="U334" s="396">
        <v>77</v>
      </c>
      <c r="V334" s="396">
        <v>36</v>
      </c>
      <c r="W334" s="396">
        <v>21</v>
      </c>
      <c r="X334" s="396">
        <v>11</v>
      </c>
      <c r="AA334" s="571"/>
      <c r="AB334" s="571"/>
      <c r="AC334" s="571"/>
      <c r="AD334" s="571"/>
      <c r="AE334" s="571"/>
      <c r="AF334" s="571"/>
      <c r="AG334" s="571"/>
      <c r="AH334" s="571"/>
      <c r="AI334" s="571"/>
      <c r="AJ334" s="571"/>
      <c r="AK334" s="571"/>
      <c r="AL334" s="571"/>
      <c r="AM334" s="571"/>
      <c r="AN334" s="571"/>
    </row>
    <row r="335" spans="1:40" s="129" customFormat="1" ht="15.6" hidden="1">
      <c r="B335" s="82"/>
      <c r="C335" s="1"/>
      <c r="D335" s="1"/>
      <c r="E335" s="1"/>
      <c r="F335" s="1"/>
      <c r="G335" s="1" t="s">
        <v>134</v>
      </c>
      <c r="H335" s="3" t="s">
        <v>2994</v>
      </c>
      <c r="I335" s="110" t="s">
        <v>79</v>
      </c>
      <c r="M335" s="11">
        <v>15</v>
      </c>
      <c r="N335" s="11">
        <v>26</v>
      </c>
      <c r="O335" s="11">
        <v>43</v>
      </c>
      <c r="P335" s="11">
        <v>90</v>
      </c>
      <c r="Q335" s="11">
        <v>136</v>
      </c>
      <c r="R335" s="11">
        <v>161</v>
      </c>
      <c r="S335" s="11">
        <v>145</v>
      </c>
      <c r="T335" s="11">
        <v>95</v>
      </c>
      <c r="U335" s="11">
        <v>56</v>
      </c>
      <c r="V335" s="11">
        <v>33</v>
      </c>
      <c r="W335" s="11">
        <v>19</v>
      </c>
      <c r="X335" s="11">
        <v>10</v>
      </c>
      <c r="AA335" s="571"/>
      <c r="AB335" s="571"/>
      <c r="AC335" s="571"/>
      <c r="AD335" s="571"/>
      <c r="AE335" s="571"/>
      <c r="AF335" s="571"/>
      <c r="AG335" s="571"/>
      <c r="AH335" s="571"/>
      <c r="AI335" s="571"/>
      <c r="AJ335" s="571"/>
      <c r="AK335" s="571"/>
      <c r="AL335" s="571"/>
      <c r="AM335" s="571"/>
      <c r="AN335" s="571"/>
    </row>
    <row r="336" spans="1:40" s="129" customFormat="1" ht="15.6" hidden="1">
      <c r="B336" s="82"/>
      <c r="C336" s="1"/>
      <c r="D336" s="1"/>
      <c r="E336" s="1"/>
      <c r="F336" s="1"/>
      <c r="G336" s="1" t="s">
        <v>135</v>
      </c>
      <c r="H336" s="3" t="s">
        <v>2994</v>
      </c>
      <c r="I336" s="110" t="s">
        <v>79</v>
      </c>
      <c r="M336" s="11">
        <v>13</v>
      </c>
      <c r="N336" s="11">
        <v>24</v>
      </c>
      <c r="O336" s="11">
        <v>39</v>
      </c>
      <c r="P336" s="11">
        <v>71</v>
      </c>
      <c r="Q336" s="11">
        <v>101</v>
      </c>
      <c r="R336" s="11">
        <v>119</v>
      </c>
      <c r="S336" s="11">
        <v>113</v>
      </c>
      <c r="T336" s="11">
        <v>72</v>
      </c>
      <c r="U336" s="11">
        <v>50</v>
      </c>
      <c r="V336" s="11">
        <v>30</v>
      </c>
      <c r="W336" s="11">
        <v>17</v>
      </c>
      <c r="X336" s="11">
        <v>9</v>
      </c>
      <c r="AA336" s="571"/>
      <c r="AB336" s="571"/>
      <c r="AC336" s="571"/>
      <c r="AD336" s="571"/>
      <c r="AE336" s="571"/>
      <c r="AF336" s="571"/>
      <c r="AG336" s="571"/>
      <c r="AH336" s="571"/>
      <c r="AI336" s="571"/>
      <c r="AJ336" s="571"/>
      <c r="AK336" s="571"/>
      <c r="AL336" s="571"/>
      <c r="AM336" s="571"/>
      <c r="AN336" s="571"/>
    </row>
    <row r="337" spans="2:40" s="129" customFormat="1" ht="15.6" hidden="1">
      <c r="B337" s="82"/>
      <c r="C337" s="1"/>
      <c r="D337" s="1"/>
      <c r="E337" s="1"/>
      <c r="F337" s="1"/>
      <c r="G337" s="1" t="s">
        <v>136</v>
      </c>
      <c r="H337" s="3" t="s">
        <v>2994</v>
      </c>
      <c r="I337" s="110" t="s">
        <v>79</v>
      </c>
      <c r="M337" s="395">
        <v>10</v>
      </c>
      <c r="N337" s="395">
        <v>18</v>
      </c>
      <c r="O337" s="395">
        <v>31</v>
      </c>
      <c r="P337" s="395">
        <v>58</v>
      </c>
      <c r="Q337" s="395">
        <v>75</v>
      </c>
      <c r="R337" s="395">
        <v>83</v>
      </c>
      <c r="S337" s="395">
        <v>81</v>
      </c>
      <c r="T337" s="395">
        <v>57</v>
      </c>
      <c r="U337" s="395">
        <v>41</v>
      </c>
      <c r="V337" s="395">
        <v>25</v>
      </c>
      <c r="W337" s="395">
        <v>13</v>
      </c>
      <c r="X337" s="395">
        <v>7</v>
      </c>
      <c r="AA337" s="571"/>
      <c r="AB337" s="571"/>
      <c r="AC337" s="571"/>
      <c r="AD337" s="571"/>
      <c r="AE337" s="571"/>
      <c r="AF337" s="571"/>
      <c r="AG337" s="571"/>
      <c r="AH337" s="571"/>
      <c r="AI337" s="571"/>
      <c r="AJ337" s="571"/>
      <c r="AK337" s="571"/>
      <c r="AL337" s="571"/>
      <c r="AM337" s="571"/>
      <c r="AN337" s="571"/>
    </row>
    <row r="338" spans="2:40" s="129" customFormat="1" ht="15.6" hidden="1">
      <c r="B338" s="82"/>
      <c r="C338" s="72" t="s">
        <v>1894</v>
      </c>
      <c r="D338" s="1"/>
      <c r="E338" s="1"/>
      <c r="F338" s="1"/>
      <c r="G338" s="1"/>
      <c r="H338" s="3" t="s">
        <v>2995</v>
      </c>
      <c r="I338" s="110" t="s">
        <v>79</v>
      </c>
      <c r="M338" s="11">
        <v>1</v>
      </c>
      <c r="N338" s="11">
        <v>1.9</v>
      </c>
      <c r="O338" s="11">
        <v>4.7</v>
      </c>
      <c r="P338" s="11">
        <v>9.1999999999999993</v>
      </c>
      <c r="Q338" s="11">
        <v>14.1</v>
      </c>
      <c r="R338" s="11">
        <v>16.7</v>
      </c>
      <c r="S338" s="11">
        <v>19</v>
      </c>
      <c r="T338" s="11">
        <v>18.600000000000001</v>
      </c>
      <c r="U338" s="11">
        <v>14.3</v>
      </c>
      <c r="V338" s="11">
        <v>9.5</v>
      </c>
      <c r="W338" s="11">
        <v>4.0999999999999996</v>
      </c>
      <c r="X338" s="11">
        <v>0.9</v>
      </c>
      <c r="AA338" s="571"/>
      <c r="AB338" s="571"/>
      <c r="AC338" s="571"/>
      <c r="AD338" s="571"/>
      <c r="AE338" s="571"/>
      <c r="AF338" s="571"/>
      <c r="AG338" s="571"/>
      <c r="AH338" s="571"/>
      <c r="AI338" s="571"/>
      <c r="AJ338" s="571"/>
      <c r="AK338" s="571"/>
      <c r="AL338" s="571"/>
      <c r="AM338" s="571"/>
      <c r="AN338" s="571"/>
    </row>
    <row r="339" spans="2:40" s="129" customFormat="1" ht="15.6" hidden="1">
      <c r="B339" s="117"/>
      <c r="C339" s="411" t="s">
        <v>1896</v>
      </c>
      <c r="D339" s="86"/>
      <c r="E339" s="86"/>
      <c r="F339" s="86"/>
      <c r="G339" s="86"/>
      <c r="H339" s="108" t="s">
        <v>2996</v>
      </c>
      <c r="I339" s="410" t="s">
        <v>79</v>
      </c>
      <c r="M339" s="11">
        <v>31</v>
      </c>
      <c r="N339" s="11">
        <v>28</v>
      </c>
      <c r="O339" s="11">
        <v>31</v>
      </c>
      <c r="P339" s="11">
        <v>30</v>
      </c>
      <c r="Q339" s="11">
        <v>31</v>
      </c>
      <c r="R339" s="11">
        <v>30</v>
      </c>
      <c r="S339" s="11">
        <v>31</v>
      </c>
      <c r="T339" s="11">
        <v>31</v>
      </c>
      <c r="U339" s="11">
        <v>30</v>
      </c>
      <c r="V339" s="11">
        <v>31</v>
      </c>
      <c r="W339" s="11">
        <v>30</v>
      </c>
      <c r="X339" s="11">
        <v>31</v>
      </c>
      <c r="AA339" s="571"/>
      <c r="AB339" s="571"/>
      <c r="AC339" s="571"/>
      <c r="AD339" s="571"/>
      <c r="AE339" s="571"/>
      <c r="AF339" s="571"/>
      <c r="AG339" s="571"/>
      <c r="AH339" s="571"/>
      <c r="AI339" s="571"/>
      <c r="AJ339" s="571"/>
      <c r="AK339" s="571"/>
      <c r="AL339" s="571"/>
      <c r="AM339" s="571"/>
      <c r="AN339" s="571"/>
    </row>
    <row r="340" spans="2:40" s="129" customFormat="1">
      <c r="H340" s="129" t="s">
        <v>955</v>
      </c>
      <c r="AA340" s="571"/>
      <c r="AB340" s="571"/>
      <c r="AC340" s="571"/>
      <c r="AD340" s="571"/>
      <c r="AE340" s="571"/>
      <c r="AF340" s="571"/>
      <c r="AG340" s="571"/>
      <c r="AH340" s="571"/>
      <c r="AI340" s="571"/>
      <c r="AJ340" s="571"/>
      <c r="AK340" s="571"/>
      <c r="AL340" s="571"/>
      <c r="AM340" s="571"/>
      <c r="AN340" s="571"/>
    </row>
    <row r="341" spans="2:40" s="129" customFormat="1">
      <c r="H341" s="129" t="s">
        <v>955</v>
      </c>
      <c r="AA341" s="571"/>
      <c r="AB341" s="571"/>
      <c r="AC341" s="571"/>
      <c r="AD341" s="571"/>
      <c r="AE341" s="571"/>
      <c r="AF341" s="571"/>
      <c r="AG341" s="571"/>
      <c r="AH341" s="571"/>
      <c r="AI341" s="571"/>
      <c r="AJ341" s="571"/>
      <c r="AK341" s="571"/>
      <c r="AL341" s="571"/>
      <c r="AM341" s="571"/>
      <c r="AN341" s="571"/>
    </row>
    <row r="342" spans="2:40" s="129" customFormat="1">
      <c r="H342" s="129" t="s">
        <v>955</v>
      </c>
      <c r="AA342" s="571"/>
      <c r="AB342" s="571"/>
      <c r="AC342" s="571"/>
      <c r="AD342" s="571"/>
      <c r="AE342" s="571"/>
      <c r="AF342" s="571"/>
      <c r="AG342" s="571"/>
      <c r="AH342" s="571"/>
      <c r="AI342" s="571"/>
      <c r="AJ342" s="571"/>
      <c r="AK342" s="571"/>
      <c r="AL342" s="571"/>
      <c r="AM342" s="571"/>
      <c r="AN342" s="571"/>
    </row>
    <row r="343" spans="2:40" s="129" customFormat="1">
      <c r="AA343" s="571"/>
      <c r="AB343" s="571"/>
      <c r="AC343" s="571"/>
      <c r="AD343" s="571"/>
      <c r="AE343" s="571"/>
      <c r="AF343" s="571"/>
      <c r="AG343" s="571"/>
      <c r="AH343" s="571"/>
      <c r="AI343" s="571"/>
      <c r="AJ343" s="571"/>
      <c r="AK343" s="571"/>
      <c r="AL343" s="571"/>
      <c r="AM343" s="571"/>
      <c r="AN343" s="571"/>
    </row>
    <row r="344" spans="2:40" s="129" customFormat="1">
      <c r="AA344" s="571"/>
      <c r="AB344" s="571"/>
      <c r="AC344" s="571"/>
      <c r="AD344" s="571"/>
      <c r="AE344" s="571"/>
      <c r="AF344" s="571"/>
      <c r="AG344" s="571"/>
      <c r="AH344" s="571"/>
      <c r="AI344" s="571"/>
      <c r="AJ344" s="571"/>
      <c r="AK344" s="571"/>
      <c r="AL344" s="571"/>
      <c r="AM344" s="571"/>
      <c r="AN344" s="571"/>
    </row>
    <row r="345" spans="2:40" s="129" customFormat="1">
      <c r="AA345" s="571"/>
      <c r="AB345" s="571"/>
      <c r="AC345" s="571"/>
      <c r="AD345" s="571"/>
      <c r="AE345" s="571"/>
      <c r="AF345" s="571"/>
      <c r="AG345" s="571"/>
      <c r="AH345" s="571"/>
      <c r="AI345" s="571"/>
      <c r="AJ345" s="571"/>
      <c r="AK345" s="571"/>
      <c r="AL345" s="571"/>
      <c r="AM345" s="571"/>
      <c r="AN345" s="571"/>
    </row>
    <row r="346" spans="2:40" s="129" customFormat="1">
      <c r="AA346" s="571"/>
      <c r="AB346" s="571"/>
      <c r="AC346" s="571"/>
      <c r="AD346" s="571"/>
      <c r="AE346" s="571"/>
      <c r="AF346" s="571"/>
      <c r="AG346" s="571"/>
      <c r="AH346" s="571"/>
      <c r="AI346" s="571"/>
      <c r="AJ346" s="571"/>
      <c r="AK346" s="571"/>
      <c r="AL346" s="571"/>
      <c r="AM346" s="571"/>
      <c r="AN346" s="571"/>
    </row>
    <row r="347" spans="2:40" s="129" customFormat="1">
      <c r="AA347" s="571"/>
      <c r="AB347" s="571"/>
      <c r="AC347" s="571"/>
      <c r="AD347" s="571"/>
      <c r="AE347" s="571"/>
      <c r="AF347" s="571"/>
      <c r="AG347" s="571"/>
      <c r="AH347" s="571"/>
      <c r="AI347" s="571"/>
      <c r="AJ347" s="571"/>
      <c r="AK347" s="571"/>
      <c r="AL347" s="571"/>
      <c r="AM347" s="571"/>
      <c r="AN347" s="571"/>
    </row>
    <row r="348" spans="2:40">
      <c r="K348" s="129"/>
    </row>
    <row r="349" spans="2:40">
      <c r="K349" s="129"/>
    </row>
    <row r="350" spans="2:40">
      <c r="K350" s="129"/>
    </row>
    <row r="351" spans="2:40">
      <c r="K351" s="129"/>
    </row>
    <row r="352" spans="2:40">
      <c r="K352" s="129"/>
    </row>
    <row r="353" spans="11:11">
      <c r="K353" s="129"/>
    </row>
    <row r="354" spans="11:11">
      <c r="K354" s="129"/>
    </row>
    <row r="355" spans="11:11">
      <c r="K355" s="129"/>
    </row>
  </sheetData>
  <sheetProtection algorithmName="SHA-512" hashValue="QITtfL5T6ov+3oDLuHNVitJLhsgANl+uSqtLYtxXqHUKYnCaYNJnuuidZN51cs7ZQdZts0bBJuePube1NChzEA==" saltValue="/Jph1M0Y4X3Mix5iADZgmw==" spinCount="100000" sheet="1" objects="1" scenarios="1"/>
  <dataConsolidate/>
  <mergeCells count="15">
    <mergeCell ref="B236:I236"/>
    <mergeCell ref="B235:I235"/>
    <mergeCell ref="H234:I234"/>
    <mergeCell ref="C87:E87"/>
    <mergeCell ref="G209:I209"/>
    <mergeCell ref="D211:I211"/>
    <mergeCell ref="G100:I100"/>
    <mergeCell ref="G113:I113"/>
    <mergeCell ref="G116:I116"/>
    <mergeCell ref="G179:I179"/>
    <mergeCell ref="C83:E83"/>
    <mergeCell ref="C84:E84"/>
    <mergeCell ref="C85:E85"/>
    <mergeCell ref="C86:E86"/>
    <mergeCell ref="E4:I4"/>
  </mergeCells>
  <phoneticPr fontId="195" type="noConversion"/>
  <conditionalFormatting sqref="G134:H142">
    <cfRule type="expression" dxfId="515" priority="61">
      <formula>HatFormel=TRUE</formula>
    </cfRule>
  </conditionalFormatting>
  <conditionalFormatting sqref="F21:G29 G30">
    <cfRule type="expression" dxfId="514" priority="60">
      <formula>HatFormel=TRUE</formula>
    </cfRule>
  </conditionalFormatting>
  <conditionalFormatting sqref="C21:C30">
    <cfRule type="expression" dxfId="513" priority="59">
      <formula>HatFormel=TRUE</formula>
    </cfRule>
  </conditionalFormatting>
  <conditionalFormatting sqref="F38:G38 F35:F37">
    <cfRule type="expression" dxfId="512" priority="58">
      <formula>HatFormel=TRUE</formula>
    </cfRule>
  </conditionalFormatting>
  <conditionalFormatting sqref="F41:G41">
    <cfRule type="expression" dxfId="511" priority="57">
      <formula>HatFormel=TRUE</formula>
    </cfRule>
  </conditionalFormatting>
  <conditionalFormatting sqref="D32">
    <cfRule type="expression" dxfId="510" priority="55">
      <formula>HatFormel=TRUE</formula>
    </cfRule>
  </conditionalFormatting>
  <conditionalFormatting sqref="D33:D38">
    <cfRule type="expression" dxfId="509" priority="54">
      <formula>HatFormel=TRUE</formula>
    </cfRule>
  </conditionalFormatting>
  <conditionalFormatting sqref="D40:D41">
    <cfRule type="expression" dxfId="508" priority="53">
      <formula>HatFormel=TRUE</formula>
    </cfRule>
  </conditionalFormatting>
  <conditionalFormatting sqref="E45:E48">
    <cfRule type="expression" dxfId="507" priority="52">
      <formula>HatFormel=TRUE</formula>
    </cfRule>
  </conditionalFormatting>
  <conditionalFormatting sqref="E49:E53">
    <cfRule type="expression" dxfId="506" priority="50">
      <formula>HatFormel=TRUE</formula>
    </cfRule>
  </conditionalFormatting>
  <conditionalFormatting sqref="F46:G53">
    <cfRule type="expression" dxfId="505" priority="49">
      <formula>HatFormel=TRUE</formula>
    </cfRule>
  </conditionalFormatting>
  <conditionalFormatting sqref="F59:G59 F55:F58">
    <cfRule type="expression" dxfId="504" priority="48">
      <formula>HatFormel=TRUE</formula>
    </cfRule>
  </conditionalFormatting>
  <conditionalFormatting sqref="D55:D59">
    <cfRule type="expression" dxfId="503" priority="47">
      <formula>HatFormel=TRUE</formula>
    </cfRule>
  </conditionalFormatting>
  <conditionalFormatting sqref="F62:G64">
    <cfRule type="expression" dxfId="502" priority="46">
      <formula>HatFormel=TRUE</formula>
    </cfRule>
  </conditionalFormatting>
  <conditionalFormatting sqref="F66:G69">
    <cfRule type="expression" dxfId="501" priority="45">
      <formula>HatFormel=TRUE</formula>
    </cfRule>
  </conditionalFormatting>
  <conditionalFormatting sqref="F71:G75">
    <cfRule type="expression" dxfId="500" priority="44">
      <formula>HatFormel=TRUE</formula>
    </cfRule>
  </conditionalFormatting>
  <conditionalFormatting sqref="F85:G88">
    <cfRule type="expression" dxfId="499" priority="43">
      <formula>HatFormel=TRUE</formula>
    </cfRule>
  </conditionalFormatting>
  <conditionalFormatting sqref="F90:G92">
    <cfRule type="expression" dxfId="498" priority="42">
      <formula>HatFormel=TRUE</formula>
    </cfRule>
  </conditionalFormatting>
  <conditionalFormatting sqref="D90:D92">
    <cfRule type="expression" dxfId="497" priority="41">
      <formula>HatFormel=TRUE</formula>
    </cfRule>
  </conditionalFormatting>
  <conditionalFormatting sqref="E82 F94:G96 C85:E88">
    <cfRule type="expression" dxfId="496" priority="40">
      <formula>HatFormel=TRUE</formula>
    </cfRule>
  </conditionalFormatting>
  <conditionalFormatting sqref="F149:F170">
    <cfRule type="expression" dxfId="495" priority="39">
      <formula>HatFormel=TRUE</formula>
    </cfRule>
  </conditionalFormatting>
  <conditionalFormatting sqref="C45:C53">
    <cfRule type="expression" dxfId="494" priority="38">
      <formula>HatFormel=TRUE</formula>
    </cfRule>
  </conditionalFormatting>
  <conditionalFormatting sqref="F7">
    <cfRule type="expression" dxfId="493" priority="37">
      <formula>HatFormel=TRUE</formula>
    </cfRule>
  </conditionalFormatting>
  <conditionalFormatting sqref="I104">
    <cfRule type="expression" dxfId="492" priority="36">
      <formula>$G$100&lt;&gt;$B$104</formula>
    </cfRule>
  </conditionalFormatting>
  <conditionalFormatting sqref="I182">
    <cfRule type="expression" dxfId="491" priority="35">
      <formula>$G$179&lt;&gt;$D$182</formula>
    </cfRule>
  </conditionalFormatting>
  <conditionalFormatting sqref="I186">
    <cfRule type="expression" dxfId="490" priority="34">
      <formula>$G$179&lt;&gt;$D$186</formula>
    </cfRule>
  </conditionalFormatting>
  <conditionalFormatting sqref="I216:I218">
    <cfRule type="expression" dxfId="489" priority="33">
      <formula>$G$209&lt;&gt;$C$215</formula>
    </cfRule>
  </conditionalFormatting>
  <conditionalFormatting sqref="D211:I211">
    <cfRule type="expression" dxfId="488" priority="32">
      <formula>$G$209&lt;&gt;$C$210</formula>
    </cfRule>
  </conditionalFormatting>
  <conditionalFormatting sqref="G55:G58">
    <cfRule type="expression" dxfId="487" priority="30">
      <formula>HatFormel=TRUE</formula>
    </cfRule>
  </conditionalFormatting>
  <conditionalFormatting sqref="G35:G37">
    <cfRule type="expression" dxfId="486" priority="29">
      <formula>HatFormel=TRUE</formula>
    </cfRule>
  </conditionalFormatting>
  <conditionalFormatting sqref="G21:G31 G35:G39 G41:G44 G46:G60 G62:G82 G85:G95">
    <cfRule type="cellIs" dxfId="485" priority="28" operator="greaterThanOrEqual">
      <formula>1</formula>
    </cfRule>
  </conditionalFormatting>
  <conditionalFormatting sqref="F134:F142">
    <cfRule type="expression" dxfId="484" priority="26">
      <formula>HatFormel=TRUE</formula>
    </cfRule>
  </conditionalFormatting>
  <conditionalFormatting sqref="I283">
    <cfRule type="expression" dxfId="483" priority="25">
      <formula>$I$278=$Y$285</formula>
    </cfRule>
  </conditionalFormatting>
  <conditionalFormatting sqref="C19:C20">
    <cfRule type="expression" dxfId="482" priority="22">
      <formula>HatFormel=TRUE</formula>
    </cfRule>
  </conditionalFormatting>
  <conditionalFormatting sqref="C18">
    <cfRule type="expression" dxfId="481" priority="21">
      <formula>HatFormel=TRUE</formula>
    </cfRule>
  </conditionalFormatting>
  <conditionalFormatting sqref="F18:G20">
    <cfRule type="expression" dxfId="480" priority="20">
      <formula>HatFormel=TRUE</formula>
    </cfRule>
  </conditionalFormatting>
  <conditionalFormatting sqref="G18:G20">
    <cfRule type="cellIs" dxfId="479" priority="19" operator="greaterThanOrEqual">
      <formula>1</formula>
    </cfRule>
  </conditionalFormatting>
  <conditionalFormatting sqref="F32:F34">
    <cfRule type="expression" dxfId="478" priority="18">
      <formula>HatFormel=TRUE</formula>
    </cfRule>
  </conditionalFormatting>
  <conditionalFormatting sqref="G32:G34">
    <cfRule type="expression" dxfId="477" priority="17">
      <formula>HatFormel=TRUE</formula>
    </cfRule>
  </conditionalFormatting>
  <conditionalFormatting sqref="G32:G34">
    <cfRule type="cellIs" dxfId="476" priority="16" operator="greaterThanOrEqual">
      <formula>1</formula>
    </cfRule>
  </conditionalFormatting>
  <conditionalFormatting sqref="F40:G40">
    <cfRule type="expression" dxfId="475" priority="15">
      <formula>HatFormel=TRUE</formula>
    </cfRule>
  </conditionalFormatting>
  <conditionalFormatting sqref="G40">
    <cfRule type="cellIs" dxfId="474" priority="14" operator="greaterThanOrEqual">
      <formula>1</formula>
    </cfRule>
  </conditionalFormatting>
  <conditionalFormatting sqref="F45:G45">
    <cfRule type="expression" dxfId="473" priority="13">
      <formula>HatFormel=TRUE</formula>
    </cfRule>
  </conditionalFormatting>
  <conditionalFormatting sqref="G45">
    <cfRule type="cellIs" dxfId="472" priority="12" operator="greaterThanOrEqual">
      <formula>1</formula>
    </cfRule>
  </conditionalFormatting>
  <conditionalFormatting sqref="F61:G61">
    <cfRule type="expression" dxfId="471" priority="11">
      <formula>HatFormel=TRUE</formula>
    </cfRule>
  </conditionalFormatting>
  <conditionalFormatting sqref="G61">
    <cfRule type="cellIs" dxfId="470" priority="10" operator="greaterThanOrEqual">
      <formula>1</formula>
    </cfRule>
  </conditionalFormatting>
  <conditionalFormatting sqref="E80:E81">
    <cfRule type="expression" dxfId="469" priority="9">
      <formula>HatFormel=TRUE</formula>
    </cfRule>
  </conditionalFormatting>
  <conditionalFormatting sqref="C83:E84">
    <cfRule type="expression" dxfId="468" priority="8">
      <formula>HatFormel=TRUE</formula>
    </cfRule>
  </conditionalFormatting>
  <conditionalFormatting sqref="F83:F84">
    <cfRule type="expression" dxfId="467" priority="7">
      <formula>HatFormel=TRUE</formula>
    </cfRule>
  </conditionalFormatting>
  <conditionalFormatting sqref="G131:H133">
    <cfRule type="expression" dxfId="466" priority="5">
      <formula>HatFormel=TRUE</formula>
    </cfRule>
  </conditionalFormatting>
  <conditionalFormatting sqref="F131:F133">
    <cfRule type="expression" dxfId="465" priority="4">
      <formula>HatFormel=TRUE</formula>
    </cfRule>
  </conditionalFormatting>
  <conditionalFormatting sqref="G83:G84">
    <cfRule type="expression" dxfId="464" priority="3">
      <formula>HatFormel=TRUE</formula>
    </cfRule>
  </conditionalFormatting>
  <conditionalFormatting sqref="G83:G84">
    <cfRule type="cellIs" dxfId="463" priority="2" operator="greaterThanOrEqual">
      <formula>1</formula>
    </cfRule>
  </conditionalFormatting>
  <dataValidations count="17">
    <dataValidation type="list" allowBlank="1" showInputMessage="1" showErrorMessage="1" sqref="G100:I100" xr:uid="{00000000-0002-0000-0100-000000000000}">
      <formula1>$B$101:$B$104</formula1>
    </dataValidation>
    <dataValidation type="list" allowBlank="1" showInputMessage="1" showErrorMessage="1" sqref="D32:D38 D40:D41" xr:uid="{00000000-0002-0000-0100-000001000000}">
      <formula1>$B$18:$B$29</formula1>
    </dataValidation>
    <dataValidation type="list" allowBlank="1" showInputMessage="1" showErrorMessage="1" sqref="D55:D59" xr:uid="{00000000-0002-0000-0100-000002000000}">
      <formula1>$B$45:$B$52</formula1>
    </dataValidation>
    <dataValidation type="list" allowBlank="1" showInputMessage="1" showErrorMessage="1" sqref="D211:I211" xr:uid="{00000000-0002-0000-0100-000003000000}">
      <formula1>listTechnikMusteranlageLang</formula1>
    </dataValidation>
    <dataValidation type="list" allowBlank="1" showInputMessage="1" showErrorMessage="1" sqref="G113:I113" xr:uid="{00000000-0002-0000-0100-000004000000}">
      <formula1>$C$114:$C$115</formula1>
    </dataValidation>
    <dataValidation type="list" allowBlank="1" showInputMessage="1" showErrorMessage="1" sqref="G116:I116" xr:uid="{00000000-0002-0000-0100-000005000000}">
      <formula1>$C$117:$C$121</formula1>
    </dataValidation>
    <dataValidation type="list" allowBlank="1" showInputMessage="1" showErrorMessage="1" sqref="E45:E53" xr:uid="{00000000-0002-0000-0100-000006000000}">
      <formula1>listNeiOhne90</formula1>
    </dataValidation>
    <dataValidation type="list" allowBlank="1" showInputMessage="1" showErrorMessage="1" sqref="D90:D92" xr:uid="{00000000-0002-0000-0100-000007000000}">
      <formula1>$B$83:$B$87</formula1>
    </dataValidation>
    <dataValidation type="list" allowBlank="1" showInputMessage="1" showErrorMessage="1" sqref="C83:E88" xr:uid="{00000000-0002-0000-0100-000008000000}">
      <formula1>listUntererAbschluss</formula1>
    </dataValidation>
    <dataValidation type="list" allowBlank="1" showInputMessage="1" showErrorMessage="1" sqref="G179:I179" xr:uid="{00000000-0002-0000-0100-000009000000}">
      <formula1>$D$180:$D$182</formula1>
    </dataValidation>
    <dataValidation type="list" allowBlank="1" showInputMessage="1" showErrorMessage="1" sqref="C18:C30" xr:uid="{00000000-0002-0000-0100-00000A000000}">
      <formula1>listOriOhneHor</formula1>
    </dataValidation>
    <dataValidation type="list" allowBlank="1" showInputMessage="1" showErrorMessage="1" sqref="C45:C53" xr:uid="{00000000-0002-0000-0100-00000B000000}">
      <formula1>listOri</formula1>
    </dataValidation>
    <dataValidation type="decimal" allowBlank="1" showInputMessage="1" showErrorMessage="1" error="Werte über 80% nicht zulässig (DIN EN 12831 Bbl 1 - Kap. 3.5.1)" sqref="I283" xr:uid="{00000000-0002-0000-0100-00000C000000}">
      <formula1>0</formula1>
      <formula2>80</formula2>
    </dataValidation>
    <dataValidation type="list" allowBlank="1" showInputMessage="1" showErrorMessage="1" sqref="I284" xr:uid="{00000000-0002-0000-0100-00000D000000}">
      <formula1>"nein,ja"</formula1>
    </dataValidation>
    <dataValidation type="list" allowBlank="1" showInputMessage="1" showErrorMessage="1" sqref="G209:I209" xr:uid="{00000000-0002-0000-0100-00000E000000}">
      <formula1>$AA$214:$AA$216</formula1>
    </dataValidation>
    <dataValidation type="list" allowBlank="1" showInputMessage="1" showErrorMessage="1" sqref="E66 E61" xr:uid="{00000000-0002-0000-0100-00000F000000}">
      <formula1>$AA$32:$AA$39</formula1>
    </dataValidation>
    <dataValidation type="list" allowBlank="1" showInputMessage="1" showErrorMessage="1" sqref="H234:I234" xr:uid="{00000000-0002-0000-0100-000010000000}">
      <formula1>$C$241:$C$258</formula1>
    </dataValidation>
  </dataValidations>
  <pageMargins left="0.70866141732283472" right="0.70866141732283472" top="0.78740157480314965" bottom="0.78740157480314965" header="0.31496062992125984" footer="0.31496062992125984"/>
  <pageSetup paperSize="9" scale="93" fitToHeight="0" orientation="portrait" r:id="rId1"/>
  <headerFooter>
    <oddFooter>&amp;L&amp;G&amp;C&amp;"Arial,Standard"&amp;9A. Maas und K. Höttges
V4.0, April 2023&amp;R&amp;"Arial,Standard"&amp;9Berechnungsblatt GEG 2023, Blatt '&amp;A'
Seite &amp;P von &amp;N</oddFooter>
  </headerFooter>
  <rowBreaks count="6" manualBreakCount="6">
    <brk id="41" min="1" max="8" man="1"/>
    <brk id="75" min="1" max="8" man="1"/>
    <brk id="111" min="1" max="8" man="1"/>
    <brk id="145" min="1" max="8" man="1"/>
    <brk id="177" min="1" max="8" man="1"/>
    <brk id="236" min="1" max="8"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32" r:id="rId5" name="Button 8">
              <controlPr defaultSize="0" print="0" autoFill="0" autoPict="0" macro="[0]!ZeilenEinAusBlendenAlle">
                <anchor moveWithCells="1">
                  <from>
                    <xdr:col>9</xdr:col>
                    <xdr:colOff>7620</xdr:colOff>
                    <xdr:row>0</xdr:row>
                    <xdr:rowOff>0</xdr:rowOff>
                  </from>
                  <to>
                    <xdr:col>9</xdr:col>
                    <xdr:colOff>251460</xdr:colOff>
                    <xdr:row>1</xdr:row>
                    <xdr:rowOff>0</xdr:rowOff>
                  </to>
                </anchor>
              </controlPr>
            </control>
          </mc:Choice>
        </mc:AlternateContent>
        <mc:AlternateContent xmlns:mc="http://schemas.openxmlformats.org/markup-compatibility/2006">
          <mc:Choice Requires="x14">
            <control shapeId="1057" r:id="rId6" name="Button 33">
              <controlPr defaultSize="0" print="0" autoFill="0" autoPict="0" macro="[0]!ZeilenEinAusBlendenEinzeln">
                <anchor moveWithCells="1">
                  <from>
                    <xdr:col>9</xdr:col>
                    <xdr:colOff>7620</xdr:colOff>
                    <xdr:row>5</xdr:row>
                    <xdr:rowOff>7620</xdr:rowOff>
                  </from>
                  <to>
                    <xdr:col>9</xdr:col>
                    <xdr:colOff>251460</xdr:colOff>
                    <xdr:row>6</xdr:row>
                    <xdr:rowOff>0</xdr:rowOff>
                  </to>
                </anchor>
              </controlPr>
            </control>
          </mc:Choice>
        </mc:AlternateContent>
        <mc:AlternateContent xmlns:mc="http://schemas.openxmlformats.org/markup-compatibility/2006">
          <mc:Choice Requires="x14">
            <control shapeId="1059" r:id="rId7" name="Button 35">
              <controlPr defaultSize="0" print="0" autoFill="0" autoPict="0" macro="[0]!ZeilenEinAusBlendenEinzeln">
                <anchor moveWithCells="1">
                  <from>
                    <xdr:col>9</xdr:col>
                    <xdr:colOff>7620</xdr:colOff>
                    <xdr:row>13</xdr:row>
                    <xdr:rowOff>7620</xdr:rowOff>
                  </from>
                  <to>
                    <xdr:col>9</xdr:col>
                    <xdr:colOff>251460</xdr:colOff>
                    <xdr:row>14</xdr:row>
                    <xdr:rowOff>22860</xdr:rowOff>
                  </to>
                </anchor>
              </controlPr>
            </control>
          </mc:Choice>
        </mc:AlternateContent>
        <mc:AlternateContent xmlns:mc="http://schemas.openxmlformats.org/markup-compatibility/2006">
          <mc:Choice Requires="x14">
            <control shapeId="1062" r:id="rId8" name="Button 38">
              <controlPr defaultSize="0" print="0" autoFill="0" autoPict="0" macro="[0]!ZeilenEinAusBlendenEinzeln">
                <anchor moveWithCells="1">
                  <from>
                    <xdr:col>9</xdr:col>
                    <xdr:colOff>7620</xdr:colOff>
                    <xdr:row>127</xdr:row>
                    <xdr:rowOff>7620</xdr:rowOff>
                  </from>
                  <to>
                    <xdr:col>9</xdr:col>
                    <xdr:colOff>251460</xdr:colOff>
                    <xdr:row>128</xdr:row>
                    <xdr:rowOff>0</xdr:rowOff>
                  </to>
                </anchor>
              </controlPr>
            </control>
          </mc:Choice>
        </mc:AlternateContent>
        <mc:AlternateContent xmlns:mc="http://schemas.openxmlformats.org/markup-compatibility/2006">
          <mc:Choice Requires="x14">
            <control shapeId="1063" r:id="rId9" name="Button 39">
              <controlPr defaultSize="0" print="0" autoFill="0" autoPict="0" macro="[0]!ZeilenEinAusBlendenEinzeln">
                <anchor moveWithCells="1">
                  <from>
                    <xdr:col>9</xdr:col>
                    <xdr:colOff>7620</xdr:colOff>
                    <xdr:row>145</xdr:row>
                    <xdr:rowOff>7620</xdr:rowOff>
                  </from>
                  <to>
                    <xdr:col>9</xdr:col>
                    <xdr:colOff>251460</xdr:colOff>
                    <xdr:row>146</xdr:row>
                    <xdr:rowOff>22860</xdr:rowOff>
                  </to>
                </anchor>
              </controlPr>
            </control>
          </mc:Choice>
        </mc:AlternateContent>
        <mc:AlternateContent xmlns:mc="http://schemas.openxmlformats.org/markup-compatibility/2006">
          <mc:Choice Requires="x14">
            <control shapeId="1064" r:id="rId10" name="Button 40">
              <controlPr defaultSize="0" print="0" autoFill="0" autoPict="0" macro="[0]!ZeilenEinAusBlendenEinzeln">
                <anchor moveWithCells="1">
                  <from>
                    <xdr:col>9</xdr:col>
                    <xdr:colOff>7620</xdr:colOff>
                    <xdr:row>173</xdr:row>
                    <xdr:rowOff>7620</xdr:rowOff>
                  </from>
                  <to>
                    <xdr:col>9</xdr:col>
                    <xdr:colOff>251460</xdr:colOff>
                    <xdr:row>174</xdr:row>
                    <xdr:rowOff>0</xdr:rowOff>
                  </to>
                </anchor>
              </controlPr>
            </control>
          </mc:Choice>
        </mc:AlternateContent>
        <mc:AlternateContent xmlns:mc="http://schemas.openxmlformats.org/markup-compatibility/2006">
          <mc:Choice Requires="x14">
            <control shapeId="1065" r:id="rId11" name="Button 41">
              <controlPr defaultSize="0" print="0" autoFill="0" autoPict="0" macro="[0]!ZeilenEinAusBlendenEinzeln">
                <anchor moveWithCells="1">
                  <from>
                    <xdr:col>9</xdr:col>
                    <xdr:colOff>7620</xdr:colOff>
                    <xdr:row>177</xdr:row>
                    <xdr:rowOff>7620</xdr:rowOff>
                  </from>
                  <to>
                    <xdr:col>9</xdr:col>
                    <xdr:colOff>251460</xdr:colOff>
                    <xdr:row>178</xdr:row>
                    <xdr:rowOff>22860</xdr:rowOff>
                  </to>
                </anchor>
              </controlPr>
            </control>
          </mc:Choice>
        </mc:AlternateContent>
        <mc:AlternateContent xmlns:mc="http://schemas.openxmlformats.org/markup-compatibility/2006">
          <mc:Choice Requires="x14">
            <control shapeId="1067" r:id="rId12" name="Button 43">
              <controlPr defaultSize="0" print="0" autoFill="0" autoPict="0" macro="[0]!ZeilenEinAusBlendenEinzeln">
                <anchor moveWithCells="1">
                  <from>
                    <xdr:col>9</xdr:col>
                    <xdr:colOff>7620</xdr:colOff>
                    <xdr:row>188</xdr:row>
                    <xdr:rowOff>7620</xdr:rowOff>
                  </from>
                  <to>
                    <xdr:col>9</xdr:col>
                    <xdr:colOff>251460</xdr:colOff>
                    <xdr:row>189</xdr:row>
                    <xdr:rowOff>22860</xdr:rowOff>
                  </to>
                </anchor>
              </controlPr>
            </control>
          </mc:Choice>
        </mc:AlternateContent>
        <mc:AlternateContent xmlns:mc="http://schemas.openxmlformats.org/markup-compatibility/2006">
          <mc:Choice Requires="x14">
            <control shapeId="1068" r:id="rId13" name="Button 44">
              <controlPr defaultSize="0" print="0" autoFill="0" autoPict="0" macro="[0]!ZeilenEinAusBlendenEinzeln">
                <anchor moveWithCells="1">
                  <from>
                    <xdr:col>9</xdr:col>
                    <xdr:colOff>7620</xdr:colOff>
                    <xdr:row>200</xdr:row>
                    <xdr:rowOff>7620</xdr:rowOff>
                  </from>
                  <to>
                    <xdr:col>9</xdr:col>
                    <xdr:colOff>251460</xdr:colOff>
                    <xdr:row>201</xdr:row>
                    <xdr:rowOff>22860</xdr:rowOff>
                  </to>
                </anchor>
              </controlPr>
            </control>
          </mc:Choice>
        </mc:AlternateContent>
        <mc:AlternateContent xmlns:mc="http://schemas.openxmlformats.org/markup-compatibility/2006">
          <mc:Choice Requires="x14">
            <control shapeId="1069" r:id="rId14" name="Button 45">
              <controlPr defaultSize="0" print="0" autoFill="0" autoPict="0" macro="[0]!ZeilenEinAusBlendenEinzeln">
                <anchor moveWithCells="1">
                  <from>
                    <xdr:col>9</xdr:col>
                    <xdr:colOff>7620</xdr:colOff>
                    <xdr:row>207</xdr:row>
                    <xdr:rowOff>7620</xdr:rowOff>
                  </from>
                  <to>
                    <xdr:col>9</xdr:col>
                    <xdr:colOff>251460</xdr:colOff>
                    <xdr:row>208</xdr:row>
                    <xdr:rowOff>22860</xdr:rowOff>
                  </to>
                </anchor>
              </controlPr>
            </control>
          </mc:Choice>
        </mc:AlternateContent>
        <mc:AlternateContent xmlns:mc="http://schemas.openxmlformats.org/markup-compatibility/2006">
          <mc:Choice Requires="x14">
            <control shapeId="1070" r:id="rId15" name="Button 46">
              <controlPr defaultSize="0" print="0" autoFill="0" autoPict="0" macro="[0]!ZeilenEinAusBlendenEinzeln">
                <anchor moveWithCells="1">
                  <from>
                    <xdr:col>9</xdr:col>
                    <xdr:colOff>7620</xdr:colOff>
                    <xdr:row>223</xdr:row>
                    <xdr:rowOff>7620</xdr:rowOff>
                  </from>
                  <to>
                    <xdr:col>9</xdr:col>
                    <xdr:colOff>251460</xdr:colOff>
                    <xdr:row>224</xdr:row>
                    <xdr:rowOff>22860</xdr:rowOff>
                  </to>
                </anchor>
              </controlPr>
            </control>
          </mc:Choice>
        </mc:AlternateContent>
        <mc:AlternateContent xmlns:mc="http://schemas.openxmlformats.org/markup-compatibility/2006">
          <mc:Choice Requires="x14">
            <control shapeId="1099" r:id="rId16" name="Button 75">
              <controlPr defaultSize="0" print="0" autoFill="0" autoPict="0" macro="[0]!ZeilenEinAusBlendenEinzeln">
                <anchor moveWithCells="1">
                  <from>
                    <xdr:col>9</xdr:col>
                    <xdr:colOff>7620</xdr:colOff>
                    <xdr:row>111</xdr:row>
                    <xdr:rowOff>7620</xdr:rowOff>
                  </from>
                  <to>
                    <xdr:col>9</xdr:col>
                    <xdr:colOff>251460</xdr:colOff>
                    <xdr:row>112</xdr:row>
                    <xdr:rowOff>22860</xdr:rowOff>
                  </to>
                </anchor>
              </controlPr>
            </control>
          </mc:Choice>
        </mc:AlternateContent>
        <mc:AlternateContent xmlns:mc="http://schemas.openxmlformats.org/markup-compatibility/2006">
          <mc:Choice Requires="x14">
            <control shapeId="1109" r:id="rId17" name="Button 85">
              <controlPr defaultSize="0" print="0" autoFill="0" autoPict="0" macro="[0]!ZeilenEinAusBlendenEinzeln">
                <anchor moveWithCells="1">
                  <from>
                    <xdr:col>9</xdr:col>
                    <xdr:colOff>7620</xdr:colOff>
                    <xdr:row>108</xdr:row>
                    <xdr:rowOff>7620</xdr:rowOff>
                  </from>
                  <to>
                    <xdr:col>9</xdr:col>
                    <xdr:colOff>251460</xdr:colOff>
                    <xdr:row>109</xdr:row>
                    <xdr:rowOff>0</xdr:rowOff>
                  </to>
                </anchor>
              </controlPr>
            </control>
          </mc:Choice>
        </mc:AlternateContent>
        <mc:AlternateContent xmlns:mc="http://schemas.openxmlformats.org/markup-compatibility/2006">
          <mc:Choice Requires="x14">
            <control shapeId="1110" r:id="rId18" name="Button 86">
              <controlPr defaultSize="0" print="0" autoFill="0" autoPict="0" macro="[0]!ZeilenEinAusBlendenEinzeln">
                <anchor moveWithCells="1">
                  <from>
                    <xdr:col>9</xdr:col>
                    <xdr:colOff>7620</xdr:colOff>
                    <xdr:row>123</xdr:row>
                    <xdr:rowOff>7620</xdr:rowOff>
                  </from>
                  <to>
                    <xdr:col>9</xdr:col>
                    <xdr:colOff>251460</xdr:colOff>
                    <xdr:row>124</xdr:row>
                    <xdr:rowOff>0</xdr:rowOff>
                  </to>
                </anchor>
              </controlPr>
            </control>
          </mc:Choice>
        </mc:AlternateContent>
        <mc:AlternateContent xmlns:mc="http://schemas.openxmlformats.org/markup-compatibility/2006">
          <mc:Choice Requires="x14">
            <control shapeId="1145" r:id="rId19" name="Button 121">
              <controlPr defaultSize="0" print="0" autoFill="0" autoPict="0" macro="[0]!SpaltenEinAusBlendenEinzeln">
                <anchor moveWithCells="1">
                  <from>
                    <xdr:col>10</xdr:col>
                    <xdr:colOff>7620</xdr:colOff>
                    <xdr:row>1</xdr:row>
                    <xdr:rowOff>7620</xdr:rowOff>
                  </from>
                  <to>
                    <xdr:col>10</xdr:col>
                    <xdr:colOff>259080</xdr:colOff>
                    <xdr:row>2</xdr:row>
                    <xdr:rowOff>0</xdr:rowOff>
                  </to>
                </anchor>
              </controlPr>
            </control>
          </mc:Choice>
        </mc:AlternateContent>
        <mc:AlternateContent xmlns:mc="http://schemas.openxmlformats.org/markup-compatibility/2006">
          <mc:Choice Requires="x14">
            <control shapeId="1150" r:id="rId20" name="Button 126">
              <controlPr defaultSize="0" print="0" autoFill="0" autoPict="0" macro="[0]!ZeilenEinAusBlendenEinzeln">
                <anchor moveWithCells="1">
                  <from>
                    <xdr:col>9</xdr:col>
                    <xdr:colOff>7620</xdr:colOff>
                    <xdr:row>259</xdr:row>
                    <xdr:rowOff>7620</xdr:rowOff>
                  </from>
                  <to>
                    <xdr:col>9</xdr:col>
                    <xdr:colOff>251460</xdr:colOff>
                    <xdr:row>260</xdr:row>
                    <xdr:rowOff>0</xdr:rowOff>
                  </to>
                </anchor>
              </controlPr>
            </control>
          </mc:Choice>
        </mc:AlternateContent>
        <mc:AlternateContent xmlns:mc="http://schemas.openxmlformats.org/markup-compatibility/2006">
          <mc:Choice Requires="x14">
            <control shapeId="1156" r:id="rId21" name="List Box 132">
              <controlPr defaultSize="0" print="0" autoLine="0" autoPict="0" macro="[0]!Umschalter_BauteilBerechnung">
                <anchor>
                  <from>
                    <xdr:col>10</xdr:col>
                    <xdr:colOff>99060</xdr:colOff>
                    <xdr:row>4</xdr:row>
                    <xdr:rowOff>7620</xdr:rowOff>
                  </from>
                  <to>
                    <xdr:col>16</xdr:col>
                    <xdr:colOff>0</xdr:colOff>
                    <xdr:row>6</xdr:row>
                    <xdr:rowOff>121920</xdr:rowOff>
                  </to>
                </anchor>
              </controlPr>
            </control>
          </mc:Choice>
        </mc:AlternateContent>
        <mc:AlternateContent xmlns:mc="http://schemas.openxmlformats.org/markup-compatibility/2006">
          <mc:Choice Requires="x14">
            <control shapeId="1196" r:id="rId22" name="stLilaAnAus">
              <controlPr defaultSize="0" print="0" autoFill="0" autoPict="0" macro="[0]!LilaAnAus">
                <anchor>
                  <from>
                    <xdr:col>15</xdr:col>
                    <xdr:colOff>45720</xdr:colOff>
                    <xdr:row>0</xdr:row>
                    <xdr:rowOff>0</xdr:rowOff>
                  </from>
                  <to>
                    <xdr:col>19</xdr:col>
                    <xdr:colOff>144780</xdr:colOff>
                    <xdr:row>1</xdr:row>
                    <xdr:rowOff>0</xdr:rowOff>
                  </to>
                </anchor>
              </controlPr>
            </control>
          </mc:Choice>
        </mc:AlternateContent>
        <mc:AlternateContent xmlns:mc="http://schemas.openxmlformats.org/markup-compatibility/2006">
          <mc:Choice Requires="x14">
            <control shapeId="1198" r:id="rId23" name="stReferenzErzeugen">
              <controlPr defaultSize="0" print="0" autoFill="0" autoPict="0" macro="[0]!XMLGebaeudeImport">
                <anchor>
                  <from>
                    <xdr:col>19</xdr:col>
                    <xdr:colOff>335280</xdr:colOff>
                    <xdr:row>0</xdr:row>
                    <xdr:rowOff>0</xdr:rowOff>
                  </from>
                  <to>
                    <xdr:col>22</xdr:col>
                    <xdr:colOff>144780</xdr:colOff>
                    <xdr:row>1</xdr:row>
                    <xdr:rowOff>0</xdr:rowOff>
                  </to>
                </anchor>
              </controlPr>
            </control>
          </mc:Choice>
        </mc:AlternateContent>
        <mc:AlternateContent xmlns:mc="http://schemas.openxmlformats.org/markup-compatibility/2006">
          <mc:Choice Requires="x14">
            <control shapeId="1208" r:id="rId24" name="Button 184">
              <controlPr defaultSize="0" print="0" autoFill="0" autoPict="0" macro="[0]!ZeilenEinAusBlendenEinzeln">
                <anchor moveWithCells="1">
                  <from>
                    <xdr:col>9</xdr:col>
                    <xdr:colOff>7620</xdr:colOff>
                    <xdr:row>272</xdr:row>
                    <xdr:rowOff>7620</xdr:rowOff>
                  </from>
                  <to>
                    <xdr:col>9</xdr:col>
                    <xdr:colOff>251460</xdr:colOff>
                    <xdr:row>273</xdr:row>
                    <xdr:rowOff>0</xdr:rowOff>
                  </to>
                </anchor>
              </controlPr>
            </control>
          </mc:Choice>
        </mc:AlternateContent>
        <mc:AlternateContent xmlns:mc="http://schemas.openxmlformats.org/markup-compatibility/2006">
          <mc:Choice Requires="x14">
            <control shapeId="1212" r:id="rId25" name="Button 188">
              <controlPr defaultSize="0" print="0" autoFill="0" autoPict="0" macro="[0]!ZeilenEinAusBlendenEinzeln">
                <anchor moveWithCells="1">
                  <from>
                    <xdr:col>9</xdr:col>
                    <xdr:colOff>7620</xdr:colOff>
                    <xdr:row>300</xdr:row>
                    <xdr:rowOff>7620</xdr:rowOff>
                  </from>
                  <to>
                    <xdr:col>9</xdr:col>
                    <xdr:colOff>251460</xdr:colOff>
                    <xdr:row>301</xdr:row>
                    <xdr:rowOff>0</xdr:rowOff>
                  </to>
                </anchor>
              </controlPr>
            </control>
          </mc:Choice>
        </mc:AlternateContent>
        <mc:AlternateContent xmlns:mc="http://schemas.openxmlformats.org/markup-compatibility/2006">
          <mc:Choice Requires="x14">
            <control shapeId="1235" r:id="rId26" name="Button 211">
              <controlPr defaultSize="0" print="0" autoFill="0" autoPict="0" macro="[0]!XMLGebaeudeExport">
                <anchor>
                  <from>
                    <xdr:col>19</xdr:col>
                    <xdr:colOff>335280</xdr:colOff>
                    <xdr:row>1</xdr:row>
                    <xdr:rowOff>30480</xdr:rowOff>
                  </from>
                  <to>
                    <xdr:col>22</xdr:col>
                    <xdr:colOff>144780</xdr:colOff>
                    <xdr:row>2</xdr:row>
                    <xdr:rowOff>7620</xdr:rowOff>
                  </to>
                </anchor>
              </controlPr>
            </control>
          </mc:Choice>
        </mc:AlternateContent>
        <mc:AlternateContent xmlns:mc="http://schemas.openxmlformats.org/markup-compatibility/2006">
          <mc:Choice Requires="x14">
            <control shapeId="1238" r:id="rId27" name="Button 214">
              <controlPr defaultSize="0" print="0" autoFill="0" autoPict="0" macro="[0]!Leeren">
                <anchor>
                  <from>
                    <xdr:col>22</xdr:col>
                    <xdr:colOff>297180</xdr:colOff>
                    <xdr:row>0</xdr:row>
                    <xdr:rowOff>0</xdr:rowOff>
                  </from>
                  <to>
                    <xdr:col>24</xdr:col>
                    <xdr:colOff>754380</xdr:colOff>
                    <xdr:row>1</xdr:row>
                    <xdr:rowOff>0</xdr:rowOff>
                  </to>
                </anchor>
              </controlPr>
            </control>
          </mc:Choice>
        </mc:AlternateContent>
        <mc:AlternateContent xmlns:mc="http://schemas.openxmlformats.org/markup-compatibility/2006">
          <mc:Choice Requires="x14">
            <control shapeId="1239" r:id="rId28" name="Button 215">
              <controlPr defaultSize="0" print="0" autoFill="0" autoPict="0" macro="[0]!ZeilenEinAusBlendenEinzeln">
                <anchor moveWithCells="1">
                  <from>
                    <xdr:col>9</xdr:col>
                    <xdr:colOff>22860</xdr:colOff>
                    <xdr:row>232</xdr:row>
                    <xdr:rowOff>22860</xdr:rowOff>
                  </from>
                  <to>
                    <xdr:col>9</xdr:col>
                    <xdr:colOff>251460</xdr:colOff>
                    <xdr:row>233</xdr:row>
                    <xdr:rowOff>22860</xdr:rowOff>
                  </to>
                </anchor>
              </controlPr>
            </control>
          </mc:Choice>
        </mc:AlternateContent>
        <mc:AlternateContent xmlns:mc="http://schemas.openxmlformats.org/markup-compatibility/2006">
          <mc:Choice Requires="x14">
            <control shapeId="1241" r:id="rId29" name="Button 217">
              <controlPr defaultSize="0" print="0" autoFill="0" autoPict="0" macro="[0]!ZeilenEinAusBlendenEinzeln">
                <anchor moveWithCells="1">
                  <from>
                    <xdr:col>9</xdr:col>
                    <xdr:colOff>7620</xdr:colOff>
                    <xdr:row>236</xdr:row>
                    <xdr:rowOff>7620</xdr:rowOff>
                  </from>
                  <to>
                    <xdr:col>9</xdr:col>
                    <xdr:colOff>251460</xdr:colOff>
                    <xdr:row>258</xdr:row>
                    <xdr:rowOff>22860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manualMax="0" manualMin="0" displayEmptyCellsAs="gap" xr2:uid="{00000000-0003-0000-0100-000000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Gebaeude!M131:X131</xm:f>
              <xm:sqref>Y131</xm:sqref>
            </x14:sparkline>
            <x14:sparkline>
              <xm:f>Gebaeude!M132:X132</xm:f>
              <xm:sqref>Y132</xm:sqref>
            </x14:sparkline>
            <x14:sparkline>
              <xm:f>Gebaeude!M133:X133</xm:f>
              <xm:sqref>Y133</xm:sqref>
            </x14:sparkline>
            <x14:sparkline>
              <xm:f>Gebaeude!M134:X134</xm:f>
              <xm:sqref>Y134</xm:sqref>
            </x14:sparkline>
            <x14:sparkline>
              <xm:f>Gebaeude!M135:X135</xm:f>
              <xm:sqref>Y135</xm:sqref>
            </x14:sparkline>
            <x14:sparkline>
              <xm:f>Gebaeude!M136:X136</xm:f>
              <xm:sqref>Y136</xm:sqref>
            </x14:sparkline>
            <x14:sparkline>
              <xm:f>Gebaeude!M137:X137</xm:f>
              <xm:sqref>Y137</xm:sqref>
            </x14:sparkline>
            <x14:sparkline>
              <xm:f>Gebaeude!M138:X138</xm:f>
              <xm:sqref>Y138</xm:sqref>
            </x14:sparkline>
            <x14:sparkline>
              <xm:f>Gebaeude!M139:X139</xm:f>
              <xm:sqref>Y139</xm:sqref>
            </x14:sparkline>
            <x14:sparkline>
              <xm:f>Gebaeude!M140:X140</xm:f>
              <xm:sqref>Y140</xm:sqref>
            </x14:sparkline>
            <x14:sparkline>
              <xm:f>Gebaeude!M141:X141</xm:f>
              <xm:sqref>Y141</xm:sqref>
            </x14:sparkline>
            <x14:sparkline>
              <xm:f>Gebaeude!M142:X142</xm:f>
              <xm:sqref>Y142</xm:sqref>
            </x14:sparkline>
            <x14:sparkline>
              <xm:f>Gebaeude!M143:X143</xm:f>
              <xm:sqref>Y143</xm:sqref>
            </x14:sparkline>
            <x14:sparkline>
              <xm:f>Gebaeude!M144:X144</xm:f>
              <xm:sqref>Y144</xm:sqref>
            </x14:sparkline>
          </x14:sparklines>
        </x14:sparklineGroup>
        <x14:sparklineGroup manualMax="0" manualMin="0" displayEmptyCellsAs="gap" xr2:uid="{00000000-0003-0000-0100-000001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Gebaeude!M149:X149</xm:f>
              <xm:sqref>Y149</xm:sqref>
            </x14:sparkline>
            <x14:sparkline>
              <xm:f>Gebaeude!M150:X150</xm:f>
              <xm:sqref>Y150</xm:sqref>
            </x14:sparkline>
            <x14:sparkline>
              <xm:f>Gebaeude!M151:X151</xm:f>
              <xm:sqref>Y151</xm:sqref>
            </x14:sparkline>
            <x14:sparkline>
              <xm:f>Gebaeude!M152:X152</xm:f>
              <xm:sqref>Y152</xm:sqref>
            </x14:sparkline>
            <x14:sparkline>
              <xm:f>Gebaeude!M153:X153</xm:f>
              <xm:sqref>Y153</xm:sqref>
            </x14:sparkline>
            <x14:sparkline>
              <xm:f>Gebaeude!M154:X154</xm:f>
              <xm:sqref>Y154</xm:sqref>
            </x14:sparkline>
            <x14:sparkline>
              <xm:f>Gebaeude!M155:X155</xm:f>
              <xm:sqref>Y155</xm:sqref>
            </x14:sparkline>
            <x14:sparkline>
              <xm:f>Gebaeude!M156:X156</xm:f>
              <xm:sqref>Y156</xm:sqref>
            </x14:sparkline>
            <x14:sparkline>
              <xm:f>Gebaeude!M157:X157</xm:f>
              <xm:sqref>Y157</xm:sqref>
            </x14:sparkline>
            <x14:sparkline>
              <xm:f>Gebaeude!M158:X158</xm:f>
              <xm:sqref>Y158</xm:sqref>
            </x14:sparkline>
            <x14:sparkline>
              <xm:f>Gebaeude!M159:X159</xm:f>
              <xm:sqref>Y159</xm:sqref>
            </x14:sparkline>
            <x14:sparkline>
              <xm:f>Gebaeude!M160:X160</xm:f>
              <xm:sqref>Y160</xm:sqref>
            </x14:sparkline>
            <x14:sparkline>
              <xm:f>Gebaeude!M161:X161</xm:f>
              <xm:sqref>Y161</xm:sqref>
            </x14:sparkline>
            <x14:sparkline>
              <xm:f>Gebaeude!M162:X162</xm:f>
              <xm:sqref>Y162</xm:sqref>
            </x14:sparkline>
            <x14:sparkline>
              <xm:f>Gebaeude!M163:X163</xm:f>
              <xm:sqref>Y163</xm:sqref>
            </x14:sparkline>
            <x14:sparkline>
              <xm:f>Gebaeude!M164:X164</xm:f>
              <xm:sqref>Y164</xm:sqref>
            </x14:sparkline>
            <x14:sparkline>
              <xm:f>Gebaeude!M165:X165</xm:f>
              <xm:sqref>Y165</xm:sqref>
            </x14:sparkline>
            <x14:sparkline>
              <xm:f>Gebaeude!M166:X166</xm:f>
              <xm:sqref>Y166</xm:sqref>
            </x14:sparkline>
            <x14:sparkline>
              <xm:f>Gebaeude!M167:X167</xm:f>
              <xm:sqref>Y167</xm:sqref>
            </x14:sparkline>
            <x14:sparkline>
              <xm:f>Gebaeude!M168:X168</xm:f>
              <xm:sqref>Y168</xm:sqref>
            </x14:sparkline>
            <x14:sparkline>
              <xm:f>Gebaeude!M169:X169</xm:f>
              <xm:sqref>Y169</xm:sqref>
            </x14:sparkline>
            <x14:sparkline>
              <xm:f>Gebaeude!M170:X170</xm:f>
              <xm:sqref>Y170</xm:sqref>
            </x14:sparkline>
          </x14:sparklines>
        </x14:sparklineGroup>
        <x14:sparklineGroup manualMax="0" manualMin="0" displayEmptyCellsAs="gap" xr2:uid="{00000000-0003-0000-0100-000002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Gebaeude!M190:X190</xm:f>
              <xm:sqref>Y190</xm:sqref>
            </x14:sparkline>
            <x14:sparkline>
              <xm:f>Gebaeude!M191:X191</xm:f>
              <xm:sqref>Y191</xm:sqref>
            </x14:sparkline>
            <x14:sparkline>
              <xm:f>Gebaeude!M192:X192</xm:f>
              <xm:sqref>Y192</xm:sqref>
            </x14:sparkline>
            <x14:sparkline>
              <xm:f>Gebaeude!M193:X193</xm:f>
              <xm:sqref>Y193</xm:sqref>
            </x14:sparkline>
            <x14:sparkline>
              <xm:f>Gebaeude!M194:X194</xm:f>
              <xm:sqref>Y194</xm:sqref>
            </x14:sparkline>
            <x14:sparkline>
              <xm:f>Gebaeude!M195:X195</xm:f>
              <xm:sqref>Y195</xm:sqref>
            </x14:sparkline>
            <x14:sparkline>
              <xm:f>Gebaeude!M196:X196</xm:f>
              <xm:sqref>Y196</xm:sqref>
            </x14:sparkline>
            <x14:sparkline>
              <xm:f>Gebaeude!M197:X197</xm:f>
              <xm:sqref>Y197</xm:sqref>
            </x14:sparkline>
            <x14:sparkline>
              <xm:f>Gebaeude!M198:X198</xm:f>
              <xm:sqref>Y198</xm:sqref>
            </x14:sparkline>
          </x14:sparklines>
        </x14:sparklineGroup>
        <x14:sparklineGroup manualMax="0" manualMin="0" displayEmptyCellsAs="gap" xr2:uid="{00000000-0003-0000-0100-000003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Gebaeude!M270:X270</xm:f>
              <xm:sqref>Y270</xm:sqref>
            </x14:sparkline>
          </x14:sparklines>
        </x14:sparklineGroup>
        <x14:sparklineGroup manualMax="0" manualMin="0" displayEmptyCellsAs="gap" xr2:uid="{00000000-0003-0000-0100-000004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Gebaeude!M172:X172</xm:f>
              <xm:sqref>Y172</xm:sqref>
            </x14:sparkline>
          </x14:sparklines>
        </x14:sparklineGroup>
        <x14:sparklineGroup manualMax="0" manualMin="0" displayEmptyCellsAs="gap" xr2:uid="{00000000-0003-0000-0100-000005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Gebaeude!M176:X176</xm:f>
              <xm:sqref>Y176</xm:sqref>
            </x14:sparkline>
          </x14:sparklines>
        </x14:sparklineGroup>
        <x14:sparklineGroup manualMax="0" manualMin="0" displayEmptyCellsAs="gap" xr2:uid="{00000000-0003-0000-0100-000006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Gebaeude!M271:X271</xm:f>
              <xm:sqref>Y271</xm:sqref>
            </x14:sparkline>
          </x14:sparklines>
        </x14:sparklineGroup>
        <x14:sparklineGroup manualMax="0" manualMin="0" displayEmptyCellsAs="gap" xr2:uid="{00000000-0003-0000-0100-000007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Gebaeude!M110:X110</xm:f>
              <xm:sqref>Y110</xm:sqref>
            </x14:sparkline>
          </x14:sparklines>
        </x14:sparklineGroup>
        <x14:sparklineGroup manualMax="0" manualMin="0" displayEmptyCellsAs="gap" xr2:uid="{00000000-0003-0000-0100-000008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Gebaeude!M125:X125</xm:f>
              <xm:sqref>Y125</xm:sqref>
            </x14:sparkline>
          </x14:sparklines>
        </x14:sparklineGroup>
        <x14:sparklineGroup manualMax="0" manualMin="0" displayEmptyCellsAs="gap" xr2:uid="{00000000-0003-0000-0100-000009000000}">
          <x14:colorSeries rgb="FF376092"/>
          <x14:colorNegative rgb="FFD00000"/>
          <x14:colorAxis rgb="FF000000"/>
          <x14:colorMarkers rgb="FFD00000"/>
          <x14:colorFirst rgb="FFD00000"/>
          <x14:colorLast rgb="FFD00000"/>
          <x14:colorHigh rgb="FFD00000"/>
          <x14:colorLow rgb="FFD00000"/>
          <x14:sparklines>
            <x14:sparkline>
              <xm:f>Gebaeude!M305:X305</xm:f>
              <xm:sqref>Y305</xm:sqref>
            </x14:sparkline>
            <x14:sparkline>
              <xm:f>Gebaeude!M306:X306</xm:f>
              <xm:sqref>Y306</xm:sqref>
            </x14:sparkline>
            <x14:sparkline>
              <xm:f>Gebaeude!M307:X307</xm:f>
              <xm:sqref>Y307</xm:sqref>
            </x14:sparkline>
            <x14:sparkline>
              <xm:f>Gebaeude!M308:X308</xm:f>
              <xm:sqref>Y308</xm:sqref>
            </x14:sparkline>
            <x14:sparkline>
              <xm:f>Gebaeude!M309:X309</xm:f>
              <xm:sqref>Y309</xm:sqref>
            </x14:sparkline>
            <x14:sparkline>
              <xm:f>Gebaeude!M310:X310</xm:f>
              <xm:sqref>Y310</xm:sqref>
            </x14:sparkline>
            <x14:sparkline>
              <xm:f>Gebaeude!M311:X311</xm:f>
              <xm:sqref>Y311</xm:sqref>
            </x14:sparkline>
            <x14:sparkline>
              <xm:f>Gebaeude!M312:X312</xm:f>
              <xm:sqref>Y312</xm:sqref>
            </x14:sparkline>
            <x14:sparkline>
              <xm:f>Gebaeude!M313:X313</xm:f>
              <xm:sqref>Y313</xm:sqref>
            </x14:sparkline>
            <x14:sparkline>
              <xm:f>Gebaeude!M314:X314</xm:f>
              <xm:sqref>Y314</xm:sqref>
            </x14:sparkline>
            <x14:sparkline>
              <xm:f>Gebaeude!M315:X315</xm:f>
              <xm:sqref>Y315</xm:sqref>
            </x14:sparkline>
            <x14:sparkline>
              <xm:f>Gebaeude!M316:X316</xm:f>
              <xm:sqref>Y316</xm:sqref>
            </x14:sparkline>
            <x14:sparkline>
              <xm:f>Gebaeude!M317:X317</xm:f>
              <xm:sqref>Y317</xm:sqref>
            </x14:sparkline>
            <x14:sparkline>
              <xm:f>Gebaeude!M318:X318</xm:f>
              <xm:sqref>Y318</xm:sqref>
            </x14:sparkline>
            <x14:sparkline>
              <xm:f>Gebaeude!M319:X319</xm:f>
              <xm:sqref>Y319</xm:sqref>
            </x14:sparkline>
            <x14:sparkline>
              <xm:f>Gebaeude!M320:X320</xm:f>
              <xm:sqref>Y320</xm:sqref>
            </x14:sparkline>
            <x14:sparkline>
              <xm:f>Gebaeude!M321:X321</xm:f>
              <xm:sqref>Y321</xm:sqref>
            </x14:sparkline>
            <x14:sparkline>
              <xm:f>Gebaeude!M322:X322</xm:f>
              <xm:sqref>Y322</xm:sqref>
            </x14:sparkline>
            <x14:sparkline>
              <xm:f>Gebaeude!M323:X323</xm:f>
              <xm:sqref>Y323</xm:sqref>
            </x14:sparkline>
            <x14:sparkline>
              <xm:f>Gebaeude!M324:X324</xm:f>
              <xm:sqref>Y324</xm:sqref>
            </x14:sparkline>
            <x14:sparkline>
              <xm:f>Gebaeude!M325:X325</xm:f>
              <xm:sqref>Y325</xm:sqref>
            </x14:sparkline>
            <x14:sparkline>
              <xm:f>Gebaeude!M326:X326</xm:f>
              <xm:sqref>Y326</xm:sqref>
            </x14:sparkline>
            <x14:sparkline>
              <xm:f>Gebaeude!M327:X327</xm:f>
              <xm:sqref>Y327</xm:sqref>
            </x14:sparkline>
            <x14:sparkline>
              <xm:f>Gebaeude!M328:X328</xm:f>
              <xm:sqref>Y328</xm:sqref>
            </x14:sparkline>
            <x14:sparkline>
              <xm:f>Gebaeude!M329:X329</xm:f>
              <xm:sqref>Y329</xm:sqref>
            </x14:sparkline>
            <x14:sparkline>
              <xm:f>Gebaeude!M330:X330</xm:f>
              <xm:sqref>Y330</xm:sqref>
            </x14:sparkline>
            <x14:sparkline>
              <xm:f>Gebaeude!M331:X331</xm:f>
              <xm:sqref>Y331</xm:sqref>
            </x14:sparkline>
            <x14:sparkline>
              <xm:f>Gebaeude!M332:X332</xm:f>
              <xm:sqref>Y332</xm:sqref>
            </x14:sparkline>
            <x14:sparkline>
              <xm:f>Gebaeude!M333:X333</xm:f>
              <xm:sqref>Y333</xm:sqref>
            </x14:sparkline>
            <x14:sparkline>
              <xm:f>Gebaeude!M334:X334</xm:f>
              <xm:sqref>Y334</xm:sqref>
            </x14:sparkline>
            <x14:sparkline>
              <xm:f>Gebaeude!M335:X335</xm:f>
              <xm:sqref>Y335</xm:sqref>
            </x14:sparkline>
            <x14:sparkline>
              <xm:f>Gebaeude!M336:X336</xm:f>
              <xm:sqref>Y336</xm:sqref>
            </x14:sparkline>
            <x14:sparkline>
              <xm:f>Gebaeude!M337:X337</xm:f>
              <xm:sqref>Y337</xm:sqref>
            </x14:sparkline>
            <x14:sparkline>
              <xm:f>Gebaeude!M338:X338</xm:f>
              <xm:sqref>Y338</xm:sqref>
            </x14:sparkline>
            <x14:sparkline>
              <xm:f>Gebaeude!M339:X339</xm:f>
              <xm:sqref>Y339</xm:sqref>
            </x14:sparkline>
          </x14:sparklines>
        </x14:sparklineGroup>
        <x14:sparklineGroup manualMax="0" manualMin="0" displayEmptyCellsAs="gap" xr2:uid="{00000000-0003-0000-0100-00000A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Gebaeude!M261:X261</xm:f>
              <xm:sqref>Y261</xm:sqref>
            </x14:sparkline>
            <x14:sparkline>
              <xm:f>Gebaeude!M262:X262</xm:f>
              <xm:sqref>Y262</xm:sqref>
            </x14:sparkline>
            <x14:sparkline>
              <xm:f>Gebaeude!M263:X263</xm:f>
              <xm:sqref>Y263</xm:sqref>
            </x14:sparkline>
            <x14:sparkline>
              <xm:f>Gebaeude!M264:X264</xm:f>
              <xm:sqref>Y264</xm:sqref>
            </x14:sparkline>
            <x14:sparkline>
              <xm:f>Gebaeude!M265:X265</xm:f>
              <xm:sqref>Y265</xm:sqref>
            </x14:sparkline>
            <x14:sparkline>
              <xm:f>Gebaeude!M266:X266</xm:f>
              <xm:sqref>Y266</xm:sqref>
            </x14:sparkline>
            <x14:sparkline>
              <xm:f>Gebaeude!M267:X267</xm:f>
              <xm:sqref>Y267</xm:sqref>
            </x14:sparkline>
            <x14:sparkline>
              <xm:f>Gebaeude!M268:X268</xm:f>
              <xm:sqref>Y268</xm:sqref>
            </x14:sparkline>
            <x14:sparkline>
              <xm:f>Gebaeude!M269:X269</xm:f>
              <xm:sqref>Y269</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7">
    <pageSetUpPr fitToPage="1"/>
  </sheetPr>
  <dimension ref="A1:AN323"/>
  <sheetViews>
    <sheetView showGridLines="0" zoomScaleNormal="100" workbookViewId="0">
      <pane ySplit="4" topLeftCell="A5" activePane="bottomLeft" state="frozen"/>
      <selection pane="bottomLeft"/>
    </sheetView>
  </sheetViews>
  <sheetFormatPr baseColWidth="10" defaultColWidth="11.44140625" defaultRowHeight="13.2"/>
  <cols>
    <col min="1" max="1" width="1.109375" style="1" customWidth="1"/>
    <col min="2" max="2" width="6.33203125" style="1" customWidth="1"/>
    <col min="3" max="3" width="14.109375" style="1" customWidth="1"/>
    <col min="4" max="4" width="7.33203125" style="1" customWidth="1"/>
    <col min="5" max="5" width="10.6640625" style="1" customWidth="1"/>
    <col min="6" max="6" width="11.5546875" style="1" customWidth="1"/>
    <col min="7" max="7" width="14.44140625" style="1" customWidth="1"/>
    <col min="8" max="8" width="13.33203125" style="1" customWidth="1"/>
    <col min="9" max="9" width="15.33203125" style="1" customWidth="1"/>
    <col min="10" max="10" width="4.33203125" style="1" customWidth="1"/>
    <col min="11" max="11" width="5.44140625" style="1" customWidth="1"/>
    <col min="12" max="12" width="4.33203125" style="1" customWidth="1"/>
    <col min="13" max="24" width="6" style="1" customWidth="1"/>
    <col min="25" max="25" width="11.44140625" style="1"/>
    <col min="26" max="26" width="7" style="1" customWidth="1"/>
    <col min="27" max="27" width="8.109375" style="571" hidden="1" customWidth="1"/>
    <col min="28" max="40" width="6.33203125" style="571" hidden="1" customWidth="1"/>
    <col min="41" max="41" width="11.44140625" style="1" customWidth="1"/>
    <col min="42" max="16384" width="11.44140625" style="1"/>
  </cols>
  <sheetData>
    <row r="1" spans="2:40" ht="17.100000000000001" customHeight="1">
      <c r="B1" s="613" t="str">
        <f>Gebaeude!B1</f>
        <v>Nachweis der Anforderungen nach Gebäudeenergiegesetz gem. DIN V 4108-6/DIN V 4701-10</v>
      </c>
      <c r="C1" s="616"/>
      <c r="D1" s="616"/>
      <c r="E1" s="616"/>
      <c r="F1" s="104"/>
      <c r="G1" s="616"/>
      <c r="H1" s="616"/>
      <c r="I1" s="616"/>
      <c r="J1" s="7"/>
      <c r="K1" s="29" t="s">
        <v>299</v>
      </c>
      <c r="L1" s="8"/>
      <c r="X1" s="735"/>
    </row>
    <row r="2" spans="2:40" ht="18" customHeight="1">
      <c r="B2" s="386" t="str">
        <f>Gebaeude!B2</f>
        <v>Wohngebäude - GEG 2023 - zu errichtendes Gebäude</v>
      </c>
      <c r="C2" s="343"/>
      <c r="D2" s="343"/>
      <c r="E2" s="343"/>
      <c r="G2" s="343"/>
      <c r="H2" s="343"/>
      <c r="I2" s="1106" t="s">
        <v>3347</v>
      </c>
      <c r="J2" s="7"/>
      <c r="K2" s="87">
        <f>COLUMN(M4)</f>
        <v>13</v>
      </c>
      <c r="L2" s="8" t="s">
        <v>1797</v>
      </c>
    </row>
    <row r="3" spans="2:40" ht="6.75" customHeight="1">
      <c r="B3" s="386"/>
      <c r="C3" s="343"/>
      <c r="D3" s="343"/>
      <c r="E3" s="343"/>
      <c r="G3" s="343"/>
      <c r="H3" s="343"/>
      <c r="I3" s="343"/>
      <c r="J3" s="7"/>
      <c r="K3" s="87">
        <f>COLUMN(X4)</f>
        <v>24</v>
      </c>
      <c r="L3" s="8"/>
    </row>
    <row r="4" spans="2:40" ht="16.5" customHeight="1">
      <c r="B4" s="2" t="s">
        <v>32</v>
      </c>
      <c r="E4" s="1192" t="str">
        <f>Gebaeude!$E$4</f>
        <v>Beispielgebäude Wohnhaus</v>
      </c>
      <c r="F4" s="1192"/>
      <c r="G4" s="1193"/>
      <c r="H4" s="1193"/>
      <c r="I4" s="1193"/>
      <c r="M4" s="8" t="s">
        <v>116</v>
      </c>
      <c r="N4" s="8" t="s">
        <v>117</v>
      </c>
      <c r="O4" s="8" t="s">
        <v>118</v>
      </c>
      <c r="P4" s="8" t="s">
        <v>119</v>
      </c>
      <c r="Q4" s="8" t="s">
        <v>120</v>
      </c>
      <c r="R4" s="8" t="s">
        <v>121</v>
      </c>
      <c r="S4" s="8" t="s">
        <v>122</v>
      </c>
      <c r="T4" s="8" t="s">
        <v>123</v>
      </c>
      <c r="U4" s="8" t="s">
        <v>124</v>
      </c>
      <c r="V4" s="8" t="s">
        <v>125</v>
      </c>
      <c r="W4" s="8" t="s">
        <v>126</v>
      </c>
      <c r="X4" s="8" t="s">
        <v>127</v>
      </c>
    </row>
    <row r="5" spans="2:40" ht="6.75" customHeight="1">
      <c r="B5" s="2"/>
      <c r="E5" s="614"/>
      <c r="F5" s="614"/>
      <c r="G5" s="615"/>
      <c r="H5" s="615"/>
      <c r="I5" s="615"/>
      <c r="K5" s="87"/>
      <c r="M5" s="8"/>
      <c r="N5" s="8"/>
      <c r="O5" s="8"/>
      <c r="P5" s="8"/>
      <c r="Q5" s="8"/>
      <c r="R5" s="8"/>
      <c r="S5" s="8"/>
      <c r="T5" s="8"/>
      <c r="U5" s="8"/>
      <c r="V5" s="8"/>
      <c r="W5" s="8"/>
      <c r="X5" s="8"/>
      <c r="AA5" s="1"/>
      <c r="AB5" s="1"/>
      <c r="AC5" s="1"/>
      <c r="AD5" s="1"/>
      <c r="AE5" s="1"/>
      <c r="AF5" s="1"/>
      <c r="AG5" s="1"/>
      <c r="AH5" s="1"/>
      <c r="AI5" s="1"/>
      <c r="AJ5" s="1"/>
      <c r="AK5" s="1"/>
      <c r="AL5" s="1"/>
      <c r="AM5" s="1"/>
      <c r="AN5" s="1"/>
    </row>
    <row r="6" spans="2:40" ht="16.5" customHeight="1">
      <c r="B6" s="89" t="s">
        <v>57</v>
      </c>
      <c r="C6" s="90"/>
      <c r="D6" s="90"/>
      <c r="E6" s="90"/>
      <c r="F6" s="90"/>
      <c r="G6" s="90"/>
      <c r="H6" s="90"/>
      <c r="I6" s="91"/>
      <c r="K6" s="87">
        <f>ROW(B7)</f>
        <v>7</v>
      </c>
      <c r="L6" s="87">
        <f>ROW(B12)</f>
        <v>12</v>
      </c>
      <c r="M6" s="8"/>
    </row>
    <row r="7" spans="2:40" ht="16.5" hidden="1" customHeight="1" thickBot="1">
      <c r="B7" s="82" t="s">
        <v>2889</v>
      </c>
      <c r="E7" s="3" t="s">
        <v>2888</v>
      </c>
      <c r="F7" s="592">
        <f ca="1">Gebaeude!$F$7</f>
        <v>667.96303499999999</v>
      </c>
      <c r="I7" s="83" t="s">
        <v>1081</v>
      </c>
      <c r="K7" s="87"/>
      <c r="L7" s="87"/>
    </row>
    <row r="8" spans="2:40" ht="16.5" hidden="1" customHeight="1">
      <c r="B8" s="84" t="s">
        <v>2890</v>
      </c>
      <c r="E8" s="3" t="s">
        <v>2891</v>
      </c>
      <c r="F8" s="741">
        <f>Gebaeude!$F$8</f>
        <v>2.75</v>
      </c>
      <c r="G8" s="3" t="s">
        <v>2923</v>
      </c>
      <c r="H8" s="120">
        <f>IF(F8&lt;1,"Geschosshöhe?",IF(AND(F8&gt;=2.5,F8&lt;=3),0.32,1/F8-0.04))</f>
        <v>0.32</v>
      </c>
      <c r="I8" s="85"/>
      <c r="K8" s="87"/>
      <c r="L8" s="87"/>
      <c r="AA8" s="572"/>
      <c r="AB8" s="572"/>
      <c r="AC8" s="572"/>
    </row>
    <row r="9" spans="2:40" ht="16.5" hidden="1" customHeight="1" thickBot="1">
      <c r="B9" s="84" t="s">
        <v>2396</v>
      </c>
      <c r="E9" s="3" t="s">
        <v>2892</v>
      </c>
      <c r="F9" s="143">
        <f ca="1">IF(ISNUMBER(H8),F7*H8,0)</f>
        <v>213.7481712</v>
      </c>
      <c r="G9" s="3"/>
      <c r="I9" s="85"/>
      <c r="K9" s="87"/>
      <c r="L9" s="87"/>
    </row>
    <row r="10" spans="2:40" ht="16.5" hidden="1" customHeight="1" thickBot="1">
      <c r="B10" s="84" t="s">
        <v>2922</v>
      </c>
      <c r="E10" s="3" t="s">
        <v>2893</v>
      </c>
      <c r="F10" s="593">
        <f>Gebaeude!$F$10</f>
        <v>1</v>
      </c>
      <c r="I10" s="85"/>
      <c r="K10" s="87"/>
      <c r="L10" s="87"/>
    </row>
    <row r="11" spans="2:40" ht="16.5" hidden="1" customHeight="1">
      <c r="B11" s="84" t="s">
        <v>2921</v>
      </c>
      <c r="E11" s="3" t="s">
        <v>2894</v>
      </c>
      <c r="F11" s="593">
        <f>Gebaeude!$F$11</f>
        <v>2</v>
      </c>
      <c r="G11" s="927" t="s">
        <v>2924</v>
      </c>
      <c r="I11" s="85"/>
      <c r="K11" s="87"/>
      <c r="L11" s="87"/>
    </row>
    <row r="12" spans="2:40" ht="6.75" hidden="1" customHeight="1">
      <c r="B12" s="84"/>
      <c r="F12" s="617"/>
      <c r="I12" s="85"/>
      <c r="K12" s="87"/>
      <c r="L12" s="87"/>
      <c r="AA12" s="129"/>
      <c r="AB12" s="1"/>
      <c r="AC12" s="1"/>
      <c r="AD12" s="1"/>
      <c r="AE12" s="1"/>
      <c r="AF12" s="1"/>
      <c r="AG12" s="1"/>
      <c r="AH12" s="1"/>
      <c r="AI12" s="1"/>
      <c r="AJ12" s="1"/>
      <c r="AK12" s="1"/>
      <c r="AL12" s="1"/>
      <c r="AM12" s="1"/>
      <c r="AN12" s="1"/>
    </row>
    <row r="13" spans="2:40" ht="16.5" customHeight="1">
      <c r="B13" s="79" t="s">
        <v>2953</v>
      </c>
      <c r="C13" s="80"/>
      <c r="D13" s="80"/>
      <c r="E13" s="80"/>
      <c r="F13" s="80"/>
      <c r="G13" s="80"/>
      <c r="H13" s="80"/>
      <c r="I13" s="81"/>
      <c r="K13" s="87"/>
      <c r="L13" s="87"/>
      <c r="M13" s="30"/>
      <c r="N13" s="30"/>
    </row>
    <row r="14" spans="2:40" ht="16.5" customHeight="1">
      <c r="B14" s="103" t="s">
        <v>166</v>
      </c>
      <c r="C14" s="104"/>
      <c r="D14" s="104"/>
      <c r="E14" s="104"/>
      <c r="F14" s="104"/>
      <c r="G14" s="104"/>
      <c r="H14" s="104"/>
      <c r="I14" s="105"/>
      <c r="K14" s="87">
        <f>ROW(B15)</f>
        <v>15</v>
      </c>
      <c r="L14" s="87">
        <f>ROW(B108)</f>
        <v>108</v>
      </c>
      <c r="M14" s="8"/>
      <c r="N14" s="30"/>
    </row>
    <row r="15" spans="2:40" ht="26.4" hidden="1">
      <c r="B15" s="344" t="s">
        <v>9</v>
      </c>
      <c r="C15" s="309" t="s">
        <v>38</v>
      </c>
      <c r="D15" s="309" t="s">
        <v>75</v>
      </c>
      <c r="E15" s="309" t="s">
        <v>1795</v>
      </c>
      <c r="F15" s="618" t="s">
        <v>0</v>
      </c>
      <c r="G15" s="309" t="s">
        <v>1</v>
      </c>
      <c r="H15" s="309" t="s">
        <v>2</v>
      </c>
      <c r="I15" s="357" t="s">
        <v>3</v>
      </c>
      <c r="K15" s="87"/>
      <c r="L15" s="87"/>
    </row>
    <row r="16" spans="2:40" ht="16.5" hidden="1" customHeight="1">
      <c r="B16" s="344"/>
      <c r="C16" s="309"/>
      <c r="D16" s="346" t="s">
        <v>76</v>
      </c>
      <c r="E16" s="309" t="s">
        <v>115</v>
      </c>
      <c r="F16" s="618" t="s">
        <v>8</v>
      </c>
      <c r="G16" s="618" t="s">
        <v>5</v>
      </c>
      <c r="H16" s="618" t="s">
        <v>6</v>
      </c>
      <c r="I16" s="345" t="s">
        <v>7</v>
      </c>
      <c r="K16" s="87"/>
      <c r="L16" s="87"/>
    </row>
    <row r="17" spans="2:40" ht="16.5" hidden="1" customHeight="1">
      <c r="B17" s="93" t="s">
        <v>19</v>
      </c>
      <c r="C17" s="92"/>
      <c r="E17" s="92"/>
      <c r="F17" s="92"/>
      <c r="G17" s="92"/>
      <c r="H17" s="92"/>
      <c r="I17" s="85"/>
      <c r="K17" s="88">
        <f ca="1">SUM(I18:I29)</f>
        <v>40.12624000000001</v>
      </c>
      <c r="L17" s="87" t="s">
        <v>346</v>
      </c>
    </row>
    <row r="18" spans="2:40" ht="16.5" hidden="1" customHeight="1" thickBot="1">
      <c r="B18" s="82" t="s">
        <v>4</v>
      </c>
      <c r="C18" s="606" t="str">
        <f>Gebaeude!$C$18</f>
        <v>Nord</v>
      </c>
      <c r="E18" s="1" t="s">
        <v>18</v>
      </c>
      <c r="F18" s="592">
        <f ca="1">Gebaeude!$F$18</f>
        <v>35.787800000000004</v>
      </c>
      <c r="G18" s="742">
        <v>0.28000000000000003</v>
      </c>
      <c r="H18" s="630">
        <v>1</v>
      </c>
      <c r="I18" s="355">
        <f ca="1">F18*G18*H18</f>
        <v>10.020584000000001</v>
      </c>
      <c r="K18" s="87"/>
      <c r="L18" s="87" t="str">
        <f>"HT "&amp;B18</f>
        <v>HT AW 1</v>
      </c>
      <c r="M18" s="5"/>
      <c r="N18" s="30"/>
    </row>
    <row r="19" spans="2:40" ht="16.5" hidden="1" customHeight="1" thickBot="1">
      <c r="B19" s="82" t="s">
        <v>20</v>
      </c>
      <c r="C19" s="606" t="str">
        <f>Gebaeude!$C$19</f>
        <v>West</v>
      </c>
      <c r="E19" s="1" t="s">
        <v>18</v>
      </c>
      <c r="F19" s="592">
        <f ca="1">Gebaeude!$F$19</f>
        <v>36.936199999999999</v>
      </c>
      <c r="G19" s="742">
        <v>0.28000000000000003</v>
      </c>
      <c r="H19" s="630">
        <f>H18</f>
        <v>1</v>
      </c>
      <c r="I19" s="355">
        <f t="shared" ref="I19:I29" ca="1" si="0">F19*G19*H19</f>
        <v>10.342136</v>
      </c>
      <c r="K19" s="87"/>
      <c r="L19" s="87" t="str">
        <f t="shared" ref="L19:L29" si="1">"HT "&amp;B19</f>
        <v>HT AW 2</v>
      </c>
      <c r="M19" s="5"/>
      <c r="N19" s="30"/>
    </row>
    <row r="20" spans="2:40" ht="16.5" hidden="1" customHeight="1" thickBot="1">
      <c r="B20" s="82" t="s">
        <v>21</v>
      </c>
      <c r="C20" s="606" t="str">
        <f>Gebaeude!$C$20</f>
        <v>Süd</v>
      </c>
      <c r="E20" s="1" t="s">
        <v>18</v>
      </c>
      <c r="F20" s="592">
        <f ca="1">Gebaeude!$F$20</f>
        <v>33.43780000000001</v>
      </c>
      <c r="G20" s="742">
        <v>0.28000000000000003</v>
      </c>
      <c r="H20" s="630">
        <f t="shared" ref="H20:H29" si="2">H19</f>
        <v>1</v>
      </c>
      <c r="I20" s="355">
        <f t="shared" ca="1" si="0"/>
        <v>9.3625840000000036</v>
      </c>
      <c r="K20" s="87"/>
      <c r="L20" s="87" t="str">
        <f t="shared" si="1"/>
        <v>HT AW 3</v>
      </c>
      <c r="M20" s="5"/>
    </row>
    <row r="21" spans="2:40" ht="16.5" hidden="1" customHeight="1" thickBot="1">
      <c r="B21" s="82" t="s">
        <v>22</v>
      </c>
      <c r="C21" s="606" t="str">
        <f>Gebaeude!$C$21</f>
        <v>Ost</v>
      </c>
      <c r="E21" s="1" t="s">
        <v>18</v>
      </c>
      <c r="F21" s="592">
        <f ca="1">Gebaeude!$F$21</f>
        <v>37.1462</v>
      </c>
      <c r="G21" s="742">
        <v>0.28000000000000003</v>
      </c>
      <c r="H21" s="630">
        <f t="shared" si="2"/>
        <v>1</v>
      </c>
      <c r="I21" s="355">
        <f t="shared" ca="1" si="0"/>
        <v>10.400936000000002</v>
      </c>
      <c r="K21" s="87"/>
      <c r="L21" s="87" t="str">
        <f t="shared" si="1"/>
        <v>HT AW 4</v>
      </c>
      <c r="M21" s="5"/>
    </row>
    <row r="22" spans="2:40" ht="16.5" hidden="1" customHeight="1" thickBot="1">
      <c r="B22" s="82" t="s">
        <v>23</v>
      </c>
      <c r="C22" s="606">
        <f>Gebaeude!$C$22</f>
        <v>0</v>
      </c>
      <c r="E22" s="1" t="s">
        <v>18</v>
      </c>
      <c r="F22" s="592">
        <f ca="1">Gebaeude!$F$22</f>
        <v>0</v>
      </c>
      <c r="G22" s="742">
        <v>0.28000000000000003</v>
      </c>
      <c r="H22" s="630">
        <f t="shared" si="2"/>
        <v>1</v>
      </c>
      <c r="I22" s="355">
        <f t="shared" ca="1" si="0"/>
        <v>0</v>
      </c>
      <c r="K22" s="87"/>
      <c r="L22" s="87" t="str">
        <f t="shared" si="1"/>
        <v>HT AW 5</v>
      </c>
      <c r="P22" s="31"/>
      <c r="Q22" s="30"/>
      <c r="R22" s="30"/>
      <c r="S22" s="30"/>
      <c r="T22" s="30"/>
      <c r="U22" s="30"/>
      <c r="V22" s="30"/>
      <c r="W22" s="30"/>
      <c r="X22" s="30"/>
      <c r="AB22" s="573"/>
    </row>
    <row r="23" spans="2:40" ht="16.5" hidden="1" customHeight="1" thickBot="1">
      <c r="B23" s="82" t="s">
        <v>24</v>
      </c>
      <c r="C23" s="606">
        <f>Gebaeude!$C$23</f>
        <v>0</v>
      </c>
      <c r="E23" s="1" t="s">
        <v>18</v>
      </c>
      <c r="F23" s="592">
        <f ca="1">Gebaeude!$F$23</f>
        <v>0</v>
      </c>
      <c r="G23" s="742">
        <v>0.28000000000000003</v>
      </c>
      <c r="H23" s="630">
        <f t="shared" si="2"/>
        <v>1</v>
      </c>
      <c r="I23" s="355">
        <f t="shared" ca="1" si="0"/>
        <v>0</v>
      </c>
      <c r="K23" s="87"/>
      <c r="L23" s="87" t="str">
        <f t="shared" si="1"/>
        <v>HT AW 6</v>
      </c>
      <c r="P23" s="30"/>
      <c r="Q23" s="30"/>
      <c r="R23" s="30"/>
      <c r="S23" s="30"/>
      <c r="T23" s="30"/>
      <c r="U23" s="30"/>
      <c r="V23" s="30"/>
      <c r="W23" s="30"/>
      <c r="X23" s="30"/>
      <c r="AB23" s="573"/>
    </row>
    <row r="24" spans="2:40" ht="16.5" hidden="1" customHeight="1" thickBot="1">
      <c r="B24" s="82" t="s">
        <v>25</v>
      </c>
      <c r="C24" s="606">
        <f>Gebaeude!$C$24</f>
        <v>0</v>
      </c>
      <c r="E24" s="1" t="s">
        <v>18</v>
      </c>
      <c r="F24" s="592">
        <f ca="1">Gebaeude!$F$24</f>
        <v>0</v>
      </c>
      <c r="G24" s="742">
        <v>0.28000000000000003</v>
      </c>
      <c r="H24" s="630">
        <f t="shared" si="2"/>
        <v>1</v>
      </c>
      <c r="I24" s="355">
        <f t="shared" ca="1" si="0"/>
        <v>0</v>
      </c>
      <c r="K24" s="87"/>
      <c r="L24" s="87" t="str">
        <f t="shared" si="1"/>
        <v>HT AW 7</v>
      </c>
      <c r="P24" s="30"/>
      <c r="R24" s="30"/>
      <c r="S24" s="30"/>
      <c r="T24" s="30"/>
      <c r="U24" s="30"/>
      <c r="V24" s="30"/>
      <c r="W24" s="30"/>
      <c r="X24" s="30"/>
      <c r="AB24" s="573"/>
    </row>
    <row r="25" spans="2:40" ht="16.5" hidden="1" customHeight="1" thickBot="1">
      <c r="B25" s="82" t="s">
        <v>26</v>
      </c>
      <c r="C25" s="606">
        <f>Gebaeude!$C$25</f>
        <v>0</v>
      </c>
      <c r="E25" s="1" t="s">
        <v>18</v>
      </c>
      <c r="F25" s="592">
        <f ca="1">Gebaeude!$F$25</f>
        <v>0</v>
      </c>
      <c r="G25" s="742">
        <v>0.28000000000000003</v>
      </c>
      <c r="H25" s="630">
        <f t="shared" si="2"/>
        <v>1</v>
      </c>
      <c r="I25" s="355">
        <f t="shared" ca="1" si="0"/>
        <v>0</v>
      </c>
      <c r="K25" s="87"/>
      <c r="L25" s="87" t="str">
        <f t="shared" si="1"/>
        <v>HT AW 8</v>
      </c>
      <c r="P25" s="30"/>
      <c r="R25" s="30"/>
      <c r="S25" s="30"/>
      <c r="T25" s="30"/>
      <c r="U25" s="30"/>
      <c r="V25" s="30"/>
      <c r="W25" s="30"/>
      <c r="X25" s="30"/>
      <c r="AB25" s="573"/>
    </row>
    <row r="26" spans="2:40" ht="16.5" hidden="1" customHeight="1" thickBot="1">
      <c r="B26" s="82" t="s">
        <v>27</v>
      </c>
      <c r="C26" s="606">
        <f>Gebaeude!$C$26</f>
        <v>0</v>
      </c>
      <c r="E26" s="1" t="s">
        <v>18</v>
      </c>
      <c r="F26" s="592">
        <f ca="1">Gebaeude!$F$26</f>
        <v>0</v>
      </c>
      <c r="G26" s="742">
        <v>0.28000000000000003</v>
      </c>
      <c r="H26" s="630">
        <f t="shared" si="2"/>
        <v>1</v>
      </c>
      <c r="I26" s="355">
        <f t="shared" ca="1" si="0"/>
        <v>0</v>
      </c>
      <c r="K26" s="87"/>
      <c r="L26" s="87" t="str">
        <f t="shared" si="1"/>
        <v>HT AW 9</v>
      </c>
      <c r="AB26" s="573"/>
    </row>
    <row r="27" spans="2:40" ht="16.5" hidden="1" customHeight="1" thickBot="1">
      <c r="B27" s="82" t="s">
        <v>28</v>
      </c>
      <c r="C27" s="606">
        <f>Gebaeude!$C$27</f>
        <v>0</v>
      </c>
      <c r="E27" s="1" t="s">
        <v>18</v>
      </c>
      <c r="F27" s="592">
        <f ca="1">Gebaeude!$F$27</f>
        <v>0</v>
      </c>
      <c r="G27" s="742">
        <v>0.28000000000000003</v>
      </c>
      <c r="H27" s="630">
        <f t="shared" si="2"/>
        <v>1</v>
      </c>
      <c r="I27" s="355">
        <f t="shared" ca="1" si="0"/>
        <v>0</v>
      </c>
      <c r="K27" s="87"/>
      <c r="L27" s="87" t="str">
        <f t="shared" si="1"/>
        <v>HT AW 10</v>
      </c>
      <c r="AB27" s="573"/>
    </row>
    <row r="28" spans="2:40" ht="16.5" hidden="1" customHeight="1" thickBot="1">
      <c r="B28" s="82" t="s">
        <v>29</v>
      </c>
      <c r="C28" s="606">
        <f>Gebaeude!$C$28</f>
        <v>0</v>
      </c>
      <c r="E28" s="1" t="s">
        <v>18</v>
      </c>
      <c r="F28" s="592">
        <f ca="1">Gebaeude!$F$28</f>
        <v>0</v>
      </c>
      <c r="G28" s="742">
        <v>0.28000000000000003</v>
      </c>
      <c r="H28" s="630">
        <f t="shared" si="2"/>
        <v>1</v>
      </c>
      <c r="I28" s="355">
        <f t="shared" ca="1" si="0"/>
        <v>0</v>
      </c>
      <c r="K28" s="87"/>
      <c r="L28" s="87" t="str">
        <f t="shared" si="1"/>
        <v>HT AW 11</v>
      </c>
    </row>
    <row r="29" spans="2:40" ht="16.5" hidden="1" customHeight="1" thickBot="1">
      <c r="B29" s="82" t="s">
        <v>30</v>
      </c>
      <c r="C29" s="606">
        <f>Gebaeude!$C$29</f>
        <v>0</v>
      </c>
      <c r="E29" s="1" t="s">
        <v>18</v>
      </c>
      <c r="F29" s="592">
        <f ca="1">Gebaeude!$F$29</f>
        <v>0</v>
      </c>
      <c r="G29" s="742">
        <v>0.28000000000000003</v>
      </c>
      <c r="H29" s="630">
        <f t="shared" si="2"/>
        <v>1</v>
      </c>
      <c r="I29" s="355">
        <f t="shared" ca="1" si="0"/>
        <v>0</v>
      </c>
      <c r="K29" s="87"/>
      <c r="L29" s="87" t="str">
        <f t="shared" si="1"/>
        <v>HT AW 12</v>
      </c>
    </row>
    <row r="30" spans="2:40" ht="6.75" hidden="1" customHeight="1">
      <c r="B30" s="82"/>
      <c r="C30" s="607"/>
      <c r="F30" s="619"/>
      <c r="G30" s="747"/>
      <c r="H30" s="630"/>
      <c r="I30" s="355"/>
      <c r="K30" s="87"/>
      <c r="L30" s="87"/>
      <c r="AA30" s="1"/>
      <c r="AB30" s="1"/>
      <c r="AC30" s="1"/>
      <c r="AD30" s="1"/>
      <c r="AE30" s="1"/>
      <c r="AF30" s="1"/>
      <c r="AG30" s="1"/>
      <c r="AH30" s="1"/>
      <c r="AI30" s="1"/>
      <c r="AJ30" s="1"/>
      <c r="AK30" s="1"/>
      <c r="AL30" s="1"/>
      <c r="AM30" s="1"/>
      <c r="AN30" s="1"/>
    </row>
    <row r="31" spans="2:40" ht="16.5" hidden="1" customHeight="1">
      <c r="B31" s="93" t="s">
        <v>31</v>
      </c>
      <c r="F31" s="143"/>
      <c r="G31" s="748"/>
      <c r="H31" s="631"/>
      <c r="I31" s="356"/>
      <c r="K31" s="88">
        <f ca="1">SUM(I32:I37)</f>
        <v>42.835000000000001</v>
      </c>
      <c r="L31" s="87" t="s">
        <v>347</v>
      </c>
      <c r="AA31" s="194" t="s">
        <v>13</v>
      </c>
    </row>
    <row r="32" spans="2:40" ht="16.5" hidden="1" customHeight="1" thickBot="1">
      <c r="B32" s="82" t="s">
        <v>70</v>
      </c>
      <c r="C32" s="1" t="str">
        <f t="shared" ref="C32:C41" si="3">IF(D32&gt;0,VLOOKUP(D32,$B$18:$C$29,2,FALSE),"")</f>
        <v>Nord</v>
      </c>
      <c r="D32" s="606" t="str">
        <f>Gebaeude!$D$32</f>
        <v>AW 1</v>
      </c>
      <c r="E32" s="1" t="s">
        <v>18</v>
      </c>
      <c r="F32" s="592">
        <f ca="1">Gebaeude!$F$32</f>
        <v>5.5</v>
      </c>
      <c r="G32" s="742">
        <v>1.3</v>
      </c>
      <c r="H32" s="630">
        <f>H29</f>
        <v>1</v>
      </c>
      <c r="I32" s="355">
        <f t="shared" ref="I32:I37" ca="1" si="4">F32*G32*H32</f>
        <v>7.15</v>
      </c>
      <c r="K32" s="87"/>
      <c r="L32" s="87"/>
      <c r="O32" s="129"/>
      <c r="AA32" s="196" t="s">
        <v>11</v>
      </c>
    </row>
    <row r="33" spans="2:40" ht="16.5" hidden="1" customHeight="1" thickBot="1">
      <c r="B33" s="82" t="s">
        <v>83</v>
      </c>
      <c r="C33" s="1" t="str">
        <f t="shared" si="3"/>
        <v>West</v>
      </c>
      <c r="D33" s="606" t="str">
        <f>Gebaeude!$D$33</f>
        <v>AW 2</v>
      </c>
      <c r="E33" s="1" t="s">
        <v>18</v>
      </c>
      <c r="F33" s="592">
        <f ca="1">Gebaeude!$F$33</f>
        <v>8</v>
      </c>
      <c r="G33" s="742">
        <v>1.3</v>
      </c>
      <c r="H33" s="630">
        <f>H32</f>
        <v>1</v>
      </c>
      <c r="I33" s="355">
        <f t="shared" ca="1" si="4"/>
        <v>10.4</v>
      </c>
      <c r="K33" s="87"/>
      <c r="L33" s="87"/>
      <c r="O33" s="129"/>
      <c r="AA33" s="196" t="s">
        <v>982</v>
      </c>
    </row>
    <row r="34" spans="2:40" ht="16.5" hidden="1" customHeight="1" thickBot="1">
      <c r="B34" s="82" t="s">
        <v>84</v>
      </c>
      <c r="C34" s="1" t="str">
        <f t="shared" si="3"/>
        <v>Süd</v>
      </c>
      <c r="D34" s="606" t="str">
        <f>Gebaeude!$D$34</f>
        <v>AW 3</v>
      </c>
      <c r="E34" s="1" t="s">
        <v>18</v>
      </c>
      <c r="F34" s="592">
        <f ca="1">Gebaeude!$F$34</f>
        <v>11.66</v>
      </c>
      <c r="G34" s="742">
        <v>1.3</v>
      </c>
      <c r="H34" s="630">
        <f>H33</f>
        <v>1</v>
      </c>
      <c r="I34" s="355">
        <f t="shared" ca="1" si="4"/>
        <v>15.158000000000001</v>
      </c>
      <c r="K34" s="87"/>
      <c r="L34" s="87"/>
      <c r="O34" s="129"/>
      <c r="AA34" s="196" t="s">
        <v>983</v>
      </c>
    </row>
    <row r="35" spans="2:40" ht="16.5" hidden="1" customHeight="1" thickBot="1">
      <c r="B35" s="82" t="s">
        <v>85</v>
      </c>
      <c r="C35" s="1" t="str">
        <f t="shared" si="3"/>
        <v>Ost</v>
      </c>
      <c r="D35" s="606" t="str">
        <f>Gebaeude!$D$35</f>
        <v>AW 4</v>
      </c>
      <c r="E35" s="1" t="s">
        <v>18</v>
      </c>
      <c r="F35" s="592">
        <f ca="1">Gebaeude!$F$35</f>
        <v>7.79</v>
      </c>
      <c r="G35" s="742">
        <v>1.3</v>
      </c>
      <c r="H35" s="630">
        <f>H34</f>
        <v>1</v>
      </c>
      <c r="I35" s="355">
        <f t="shared" ca="1" si="4"/>
        <v>10.127000000000001</v>
      </c>
      <c r="K35" s="87"/>
      <c r="L35" s="87"/>
      <c r="O35" s="129"/>
      <c r="AA35" s="196" t="s">
        <v>980</v>
      </c>
    </row>
    <row r="36" spans="2:40" ht="16.5" hidden="1" customHeight="1" thickBot="1">
      <c r="B36" s="82" t="s">
        <v>86</v>
      </c>
      <c r="C36" s="1" t="str">
        <f t="shared" si="3"/>
        <v/>
      </c>
      <c r="D36" s="606">
        <f>Gebaeude!$D$36</f>
        <v>0</v>
      </c>
      <c r="E36" s="1" t="s">
        <v>18</v>
      </c>
      <c r="F36" s="592">
        <f ca="1">Gebaeude!$F$36</f>
        <v>0</v>
      </c>
      <c r="G36" s="742">
        <v>1.3</v>
      </c>
      <c r="H36" s="630">
        <f>H35</f>
        <v>1</v>
      </c>
      <c r="I36" s="355">
        <f t="shared" ca="1" si="4"/>
        <v>0</v>
      </c>
      <c r="K36" s="87"/>
      <c r="L36" s="87"/>
      <c r="O36" s="129"/>
      <c r="AA36" s="196" t="s">
        <v>981</v>
      </c>
    </row>
    <row r="37" spans="2:40" ht="16.5" hidden="1" customHeight="1" thickBot="1">
      <c r="B37" s="82" t="s">
        <v>87</v>
      </c>
      <c r="C37" s="1" t="str">
        <f t="shared" si="3"/>
        <v/>
      </c>
      <c r="D37" s="606">
        <f>Gebaeude!$D$37</f>
        <v>0</v>
      </c>
      <c r="E37" s="1" t="s">
        <v>18</v>
      </c>
      <c r="F37" s="592">
        <f ca="1">Gebaeude!$F$37</f>
        <v>0</v>
      </c>
      <c r="G37" s="742">
        <v>1.3</v>
      </c>
      <c r="H37" s="630">
        <f>H36</f>
        <v>1</v>
      </c>
      <c r="I37" s="355">
        <f t="shared" ca="1" si="4"/>
        <v>0</v>
      </c>
      <c r="K37" s="87"/>
      <c r="L37" s="87"/>
      <c r="O37" s="129"/>
      <c r="P37" s="129"/>
      <c r="AA37" s="196" t="s">
        <v>984</v>
      </c>
    </row>
    <row r="38" spans="2:40" ht="6.75" hidden="1" customHeight="1">
      <c r="B38" s="82"/>
      <c r="D38" s="607"/>
      <c r="F38" s="619"/>
      <c r="G38" s="747"/>
      <c r="H38" s="630"/>
      <c r="I38" s="355"/>
      <c r="K38" s="87"/>
      <c r="L38" s="87"/>
      <c r="O38" s="129"/>
      <c r="P38" s="129"/>
      <c r="AA38" s="196" t="s">
        <v>985</v>
      </c>
      <c r="AB38" s="1"/>
      <c r="AC38" s="1"/>
      <c r="AD38" s="1"/>
      <c r="AE38" s="1"/>
      <c r="AF38" s="1"/>
      <c r="AG38" s="1"/>
      <c r="AH38" s="1"/>
      <c r="AI38" s="1"/>
      <c r="AJ38" s="1"/>
      <c r="AK38" s="1"/>
      <c r="AL38" s="1"/>
      <c r="AM38" s="1"/>
      <c r="AN38" s="1"/>
    </row>
    <row r="39" spans="2:40" ht="16.5" hidden="1" customHeight="1">
      <c r="B39" s="93" t="s">
        <v>33</v>
      </c>
      <c r="F39" s="143"/>
      <c r="G39" s="748"/>
      <c r="H39" s="631"/>
      <c r="I39" s="356"/>
      <c r="K39" s="88">
        <f ca="1">SUM(I40:I41)</f>
        <v>6.8580000000000005</v>
      </c>
      <c r="L39" s="87" t="s">
        <v>348</v>
      </c>
      <c r="O39" s="129"/>
      <c r="AA39" s="200" t="s">
        <v>12</v>
      </c>
    </row>
    <row r="40" spans="2:40" ht="16.5" hidden="1" customHeight="1" thickBot="1">
      <c r="B40" s="82" t="s">
        <v>88</v>
      </c>
      <c r="C40" s="1" t="str">
        <f t="shared" si="3"/>
        <v>Nord</v>
      </c>
      <c r="D40" s="606" t="str">
        <f>Gebaeude!$D$40</f>
        <v>AW 1</v>
      </c>
      <c r="E40" s="1" t="s">
        <v>18</v>
      </c>
      <c r="F40" s="592">
        <f ca="1">Gebaeude!$F$40</f>
        <v>3.81</v>
      </c>
      <c r="G40" s="742">
        <v>1.8</v>
      </c>
      <c r="H40" s="630">
        <f>H37</f>
        <v>1</v>
      </c>
      <c r="I40" s="355">
        <f ca="1">F40*G40*H40</f>
        <v>6.8580000000000005</v>
      </c>
      <c r="K40" s="87"/>
      <c r="L40" s="87"/>
      <c r="O40" s="129"/>
    </row>
    <row r="41" spans="2:40" ht="16.5" hidden="1" customHeight="1">
      <c r="B41" s="117" t="s">
        <v>114</v>
      </c>
      <c r="C41" s="86" t="str">
        <f t="shared" si="3"/>
        <v/>
      </c>
      <c r="D41" s="633">
        <f>Gebaeude!$D$41</f>
        <v>0</v>
      </c>
      <c r="E41" s="86" t="s">
        <v>18</v>
      </c>
      <c r="F41" s="634">
        <f ca="1">Gebaeude!$F$41</f>
        <v>0</v>
      </c>
      <c r="G41" s="743">
        <v>1.8</v>
      </c>
      <c r="H41" s="632">
        <f>H40</f>
        <v>1</v>
      </c>
      <c r="I41" s="625">
        <f ca="1">F41*G41*H41</f>
        <v>0</v>
      </c>
      <c r="K41" s="87"/>
      <c r="L41" s="87"/>
      <c r="O41" s="129"/>
    </row>
    <row r="42" spans="2:40" ht="26.4" hidden="1">
      <c r="B42" s="621" t="s">
        <v>9</v>
      </c>
      <c r="C42" s="622" t="s">
        <v>38</v>
      </c>
      <c r="D42" s="622" t="s">
        <v>75</v>
      </c>
      <c r="E42" s="622" t="s">
        <v>1795</v>
      </c>
      <c r="F42" s="635" t="s">
        <v>0</v>
      </c>
      <c r="G42" s="749" t="s">
        <v>1</v>
      </c>
      <c r="H42" s="622" t="s">
        <v>2</v>
      </c>
      <c r="I42" s="623" t="s">
        <v>3</v>
      </c>
      <c r="K42" s="87"/>
      <c r="L42" s="87"/>
    </row>
    <row r="43" spans="2:40" ht="16.5" hidden="1" customHeight="1">
      <c r="B43" s="344"/>
      <c r="C43" s="309"/>
      <c r="D43" s="346" t="s">
        <v>76</v>
      </c>
      <c r="E43" s="309" t="s">
        <v>115</v>
      </c>
      <c r="F43" s="618" t="s">
        <v>8</v>
      </c>
      <c r="G43" s="750" t="s">
        <v>5</v>
      </c>
      <c r="H43" s="618" t="s">
        <v>6</v>
      </c>
      <c r="I43" s="629" t="s">
        <v>7</v>
      </c>
      <c r="K43" s="87"/>
      <c r="L43" s="87"/>
      <c r="AA43" s="574"/>
    </row>
    <row r="44" spans="2:40" ht="16.5" hidden="1" customHeight="1">
      <c r="B44" s="93" t="s">
        <v>34</v>
      </c>
      <c r="F44" s="96"/>
      <c r="G44" s="748"/>
      <c r="I44" s="85"/>
      <c r="K44" s="88">
        <f ca="1">SUM(I45:I52)</f>
        <v>9.363760000000001</v>
      </c>
      <c r="L44" s="87" t="s">
        <v>349</v>
      </c>
      <c r="AA44" s="194" t="s">
        <v>18</v>
      </c>
    </row>
    <row r="45" spans="2:40" ht="16.5" hidden="1" customHeight="1" thickBot="1">
      <c r="B45" s="82" t="s">
        <v>89</v>
      </c>
      <c r="C45" s="606" t="str">
        <f>Gebaeude!$C$45</f>
        <v>Nord</v>
      </c>
      <c r="E45" s="739" t="str">
        <f>Gebaeude!$E$45</f>
        <v>45°</v>
      </c>
      <c r="F45" s="592">
        <f ca="1">Gebaeude!$F$45</f>
        <v>22.648000000000003</v>
      </c>
      <c r="G45" s="742">
        <v>0.2</v>
      </c>
      <c r="H45" s="630">
        <f>H41</f>
        <v>1</v>
      </c>
      <c r="I45" s="355">
        <f t="shared" ref="I45:I52" ca="1" si="5">F45*G45*H45</f>
        <v>4.5296000000000012</v>
      </c>
      <c r="K45" s="87"/>
      <c r="L45" s="87"/>
      <c r="AA45" s="196" t="s">
        <v>17</v>
      </c>
    </row>
    <row r="46" spans="2:40" ht="16.5" hidden="1" customHeight="1" thickBot="1">
      <c r="B46" s="82" t="s">
        <v>90</v>
      </c>
      <c r="C46" s="606" t="str">
        <f>Gebaeude!$C$46</f>
        <v>Süd</v>
      </c>
      <c r="E46" s="739" t="str">
        <f>Gebaeude!$E$46</f>
        <v>45°</v>
      </c>
      <c r="F46" s="592">
        <f ca="1">Gebaeude!$F$46</f>
        <v>22.648000000000003</v>
      </c>
      <c r="G46" s="742">
        <v>0.2</v>
      </c>
      <c r="H46" s="630">
        <f t="shared" ref="H46:H52" si="6">H45</f>
        <v>1</v>
      </c>
      <c r="I46" s="355">
        <f t="shared" ca="1" si="5"/>
        <v>4.5296000000000012</v>
      </c>
      <c r="K46" s="87"/>
      <c r="L46" s="87"/>
      <c r="AA46" s="196" t="s">
        <v>16</v>
      </c>
    </row>
    <row r="47" spans="2:40" ht="16.5" hidden="1" customHeight="1" thickBot="1">
      <c r="B47" s="82" t="s">
        <v>91</v>
      </c>
      <c r="C47" s="606" t="str">
        <f>Gebaeude!$C$47</f>
        <v>Ost</v>
      </c>
      <c r="E47" s="739" t="str">
        <f>Gebaeude!$E$47</f>
        <v>45°</v>
      </c>
      <c r="F47" s="592">
        <f ca="1">Gebaeude!$F$47</f>
        <v>0.76140000000000008</v>
      </c>
      <c r="G47" s="742">
        <v>0.2</v>
      </c>
      <c r="H47" s="630">
        <f t="shared" si="6"/>
        <v>1</v>
      </c>
      <c r="I47" s="355">
        <f t="shared" ca="1" si="5"/>
        <v>0.15228000000000003</v>
      </c>
      <c r="K47" s="87"/>
      <c r="L47" s="87"/>
      <c r="AA47" s="196" t="s">
        <v>15</v>
      </c>
    </row>
    <row r="48" spans="2:40" ht="16.5" hidden="1" customHeight="1" thickBot="1">
      <c r="B48" s="82" t="s">
        <v>92</v>
      </c>
      <c r="C48" s="606" t="str">
        <f>Gebaeude!$C$48</f>
        <v>Ost</v>
      </c>
      <c r="E48" s="739" t="str">
        <f>Gebaeude!$E$48</f>
        <v>45°</v>
      </c>
      <c r="F48" s="592">
        <f ca="1">Gebaeude!$F$48</f>
        <v>0.76140000000000008</v>
      </c>
      <c r="G48" s="742">
        <v>0.2</v>
      </c>
      <c r="H48" s="630">
        <f t="shared" si="6"/>
        <v>1</v>
      </c>
      <c r="I48" s="355">
        <f t="shared" ca="1" si="5"/>
        <v>0.15228000000000003</v>
      </c>
      <c r="K48" s="87"/>
      <c r="L48" s="87"/>
      <c r="AA48" s="200" t="s">
        <v>14</v>
      </c>
    </row>
    <row r="49" spans="2:40" ht="16.5" hidden="1" customHeight="1" thickBot="1">
      <c r="B49" s="82" t="s">
        <v>93</v>
      </c>
      <c r="C49" s="606">
        <f>Gebaeude!$C$49</f>
        <v>0</v>
      </c>
      <c r="E49" s="739">
        <f>Gebaeude!$E$49</f>
        <v>0</v>
      </c>
      <c r="F49" s="592">
        <f ca="1">Gebaeude!$F$49</f>
        <v>0</v>
      </c>
      <c r="G49" s="742">
        <v>0.2</v>
      </c>
      <c r="H49" s="630">
        <f t="shared" si="6"/>
        <v>1</v>
      </c>
      <c r="I49" s="355">
        <f t="shared" ca="1" si="5"/>
        <v>0</v>
      </c>
      <c r="K49" s="87"/>
      <c r="L49" s="87"/>
    </row>
    <row r="50" spans="2:40" ht="16.5" hidden="1" customHeight="1" thickBot="1">
      <c r="B50" s="82" t="s">
        <v>94</v>
      </c>
      <c r="C50" s="606">
        <f>Gebaeude!$C$50</f>
        <v>0</v>
      </c>
      <c r="E50" s="739">
        <f>Gebaeude!$E$50</f>
        <v>0</v>
      </c>
      <c r="F50" s="592">
        <f ca="1">Gebaeude!$F$50</f>
        <v>0</v>
      </c>
      <c r="G50" s="742">
        <v>0.2</v>
      </c>
      <c r="H50" s="630">
        <f t="shared" si="6"/>
        <v>1</v>
      </c>
      <c r="I50" s="355">
        <f t="shared" ca="1" si="5"/>
        <v>0</v>
      </c>
      <c r="K50" s="87"/>
      <c r="L50" s="87"/>
    </row>
    <row r="51" spans="2:40" ht="16.5" hidden="1" customHeight="1" thickBot="1">
      <c r="B51" s="82" t="s">
        <v>95</v>
      </c>
      <c r="C51" s="606">
        <f>Gebaeude!$C$51</f>
        <v>0</v>
      </c>
      <c r="E51" s="739">
        <f>Gebaeude!$E$51</f>
        <v>0</v>
      </c>
      <c r="F51" s="592">
        <f ca="1">Gebaeude!$F$51</f>
        <v>0</v>
      </c>
      <c r="G51" s="742">
        <v>0.2</v>
      </c>
      <c r="H51" s="630">
        <f t="shared" si="6"/>
        <v>1</v>
      </c>
      <c r="I51" s="355">
        <f t="shared" ca="1" si="5"/>
        <v>0</v>
      </c>
      <c r="K51" s="87"/>
      <c r="L51" s="87"/>
    </row>
    <row r="52" spans="2:40" ht="16.5" hidden="1" customHeight="1" thickBot="1">
      <c r="B52" s="82" t="s">
        <v>96</v>
      </c>
      <c r="C52" s="606">
        <f>Gebaeude!$C$52</f>
        <v>0</v>
      </c>
      <c r="E52" s="739">
        <f>Gebaeude!$E$52</f>
        <v>0</v>
      </c>
      <c r="F52" s="592">
        <f ca="1">Gebaeude!$F$52</f>
        <v>0</v>
      </c>
      <c r="G52" s="742">
        <v>0.2</v>
      </c>
      <c r="H52" s="630">
        <f t="shared" si="6"/>
        <v>1</v>
      </c>
      <c r="I52" s="355">
        <f t="shared" ca="1" si="5"/>
        <v>0</v>
      </c>
      <c r="K52" s="87"/>
      <c r="L52" s="87"/>
    </row>
    <row r="53" spans="2:40" ht="6.75" hidden="1" customHeight="1">
      <c r="B53" s="82"/>
      <c r="C53" s="607"/>
      <c r="E53" s="607"/>
      <c r="F53" s="619"/>
      <c r="G53" s="747"/>
      <c r="H53" s="630"/>
      <c r="I53" s="355"/>
      <c r="K53" s="87"/>
      <c r="L53" s="87"/>
      <c r="AA53" s="1"/>
      <c r="AB53" s="1"/>
      <c r="AC53" s="1"/>
      <c r="AD53" s="1"/>
      <c r="AE53" s="1"/>
      <c r="AF53" s="1"/>
      <c r="AG53" s="1"/>
      <c r="AH53" s="1"/>
      <c r="AI53" s="1"/>
      <c r="AJ53" s="1"/>
      <c r="AK53" s="1"/>
      <c r="AL53" s="1"/>
      <c r="AM53" s="1"/>
      <c r="AN53" s="1"/>
    </row>
    <row r="54" spans="2:40" ht="16.5" hidden="1" customHeight="1">
      <c r="B54" s="93" t="s">
        <v>35</v>
      </c>
      <c r="F54" s="143"/>
      <c r="G54" s="748"/>
      <c r="H54" s="631"/>
      <c r="I54" s="356"/>
      <c r="K54" s="88">
        <f ca="1">SUM(I55:I58)</f>
        <v>0</v>
      </c>
      <c r="L54" s="87" t="s">
        <v>350</v>
      </c>
    </row>
    <row r="55" spans="2:40" ht="16.5" hidden="1" customHeight="1" thickBot="1">
      <c r="B55" s="82" t="s">
        <v>97</v>
      </c>
      <c r="C55" s="1" t="str">
        <f>IF(D55&gt;0,VLOOKUP(D55,$B$45:$C$52,2,FALSE),"")</f>
        <v/>
      </c>
      <c r="D55" s="606">
        <f>Gebaeude!$D$55</f>
        <v>0</v>
      </c>
      <c r="E55" s="1" t="str">
        <f>IF(D55&gt;0,VLOOKUP(D55,$B$45:$E$52,4,FALSE),"")</f>
        <v/>
      </c>
      <c r="F55" s="592">
        <f ca="1">Gebaeude!$F$55</f>
        <v>0</v>
      </c>
      <c r="G55" s="742">
        <v>1.4</v>
      </c>
      <c r="H55" s="630">
        <f>H52</f>
        <v>1</v>
      </c>
      <c r="I55" s="355">
        <f ca="1">F55*G55*H55</f>
        <v>0</v>
      </c>
      <c r="K55" s="87"/>
      <c r="L55" s="87"/>
    </row>
    <row r="56" spans="2:40" ht="16.5" hidden="1" customHeight="1" thickBot="1">
      <c r="B56" s="82" t="s">
        <v>98</v>
      </c>
      <c r="C56" s="1" t="str">
        <f>IF(D56&gt;0,VLOOKUP(D56,$B$45:$C$52,2,FALSE),"")</f>
        <v/>
      </c>
      <c r="D56" s="606">
        <f>Gebaeude!$D$56</f>
        <v>0</v>
      </c>
      <c r="E56" s="1" t="str">
        <f>IF(D56&gt;0,VLOOKUP(D56,$B$45:$E$52,4,FALSE),"")</f>
        <v/>
      </c>
      <c r="F56" s="592">
        <f ca="1">Gebaeude!$F$56</f>
        <v>0</v>
      </c>
      <c r="G56" s="742">
        <v>1.4</v>
      </c>
      <c r="H56" s="630">
        <f>H55</f>
        <v>1</v>
      </c>
      <c r="I56" s="355">
        <f ca="1">F56*G56*H56</f>
        <v>0</v>
      </c>
      <c r="K56" s="87"/>
      <c r="L56" s="87"/>
    </row>
    <row r="57" spans="2:40" ht="16.5" hidden="1" customHeight="1" thickBot="1">
      <c r="B57" s="82" t="s">
        <v>99</v>
      </c>
      <c r="C57" s="1" t="str">
        <f>IF(D57&gt;0,VLOOKUP(D57,$B$45:$C$52,2,FALSE),"")</f>
        <v/>
      </c>
      <c r="D57" s="606">
        <f>Gebaeude!$D$57</f>
        <v>0</v>
      </c>
      <c r="E57" s="1" t="str">
        <f>IF(D57&gt;0,VLOOKUP(D57,$B$45:$E$52,4,FALSE),"")</f>
        <v/>
      </c>
      <c r="F57" s="592">
        <f ca="1">Gebaeude!$F$57</f>
        <v>0</v>
      </c>
      <c r="G57" s="742">
        <v>1.4</v>
      </c>
      <c r="H57" s="630">
        <f>H56</f>
        <v>1</v>
      </c>
      <c r="I57" s="355">
        <f ca="1">F57*G57*H57</f>
        <v>0</v>
      </c>
      <c r="K57" s="87"/>
      <c r="L57" s="87"/>
    </row>
    <row r="58" spans="2:40" ht="16.5" hidden="1" customHeight="1" thickBot="1">
      <c r="B58" s="82" t="s">
        <v>100</v>
      </c>
      <c r="C58" s="1" t="str">
        <f>IF(D58&gt;0,VLOOKUP(D58,$B$45:$C$52,2,FALSE),"")</f>
        <v/>
      </c>
      <c r="D58" s="606">
        <f>Gebaeude!$D$58</f>
        <v>0</v>
      </c>
      <c r="E58" s="1" t="str">
        <f>IF(D58&gt;0,VLOOKUP(D58,$B$45:$E$52,4,FALSE),"")</f>
        <v/>
      </c>
      <c r="F58" s="592">
        <f ca="1">Gebaeude!$F$58</f>
        <v>0</v>
      </c>
      <c r="G58" s="742">
        <v>1.4</v>
      </c>
      <c r="H58" s="630">
        <f>H57</f>
        <v>1</v>
      </c>
      <c r="I58" s="355">
        <f ca="1">F58*G58*H58</f>
        <v>0</v>
      </c>
      <c r="K58" s="87"/>
      <c r="L58" s="87"/>
    </row>
    <row r="59" spans="2:40" ht="6.75" hidden="1" customHeight="1">
      <c r="B59" s="82"/>
      <c r="D59" s="607"/>
      <c r="F59" s="619"/>
      <c r="G59" s="747"/>
      <c r="H59" s="94"/>
      <c r="I59" s="355"/>
      <c r="K59" s="87"/>
      <c r="L59" s="87"/>
      <c r="AA59" s="1"/>
      <c r="AB59" s="1"/>
      <c r="AC59" s="1"/>
      <c r="AD59" s="1"/>
      <c r="AE59" s="1"/>
      <c r="AF59" s="1"/>
      <c r="AG59" s="1"/>
      <c r="AH59" s="1"/>
      <c r="AI59" s="1"/>
      <c r="AJ59" s="1"/>
      <c r="AK59" s="1"/>
      <c r="AL59" s="1"/>
      <c r="AM59" s="1"/>
      <c r="AN59" s="1"/>
    </row>
    <row r="60" spans="2:40" ht="16.5" hidden="1" customHeight="1">
      <c r="B60" s="93" t="s">
        <v>36</v>
      </c>
      <c r="F60" s="96"/>
      <c r="G60" s="748"/>
      <c r="I60" s="356"/>
      <c r="K60" s="88">
        <f ca="1">SUM(I61:I63)</f>
        <v>9.3227040000000017</v>
      </c>
      <c r="L60" s="87" t="s">
        <v>356</v>
      </c>
    </row>
    <row r="61" spans="2:40" ht="16.5" hidden="1" customHeight="1" thickBot="1">
      <c r="B61" s="82" t="s">
        <v>1788</v>
      </c>
      <c r="C61" s="1" t="s">
        <v>354</v>
      </c>
      <c r="F61" s="592">
        <f ca="1">Gebaeude!$F$61</f>
        <v>58.266900000000007</v>
      </c>
      <c r="G61" s="742">
        <v>0.2</v>
      </c>
      <c r="H61" s="94">
        <v>0.8</v>
      </c>
      <c r="I61" s="355">
        <f ca="1">F61*G61*H61</f>
        <v>9.3227040000000017</v>
      </c>
      <c r="K61" s="87"/>
      <c r="L61" s="87"/>
    </row>
    <row r="62" spans="2:40" ht="16.5" hidden="1" customHeight="1" thickBot="1">
      <c r="B62" s="82" t="s">
        <v>1789</v>
      </c>
      <c r="C62" s="1" t="s">
        <v>354</v>
      </c>
      <c r="F62" s="592">
        <f ca="1">Gebaeude!$F$62</f>
        <v>0</v>
      </c>
      <c r="G62" s="742">
        <v>0.2</v>
      </c>
      <c r="H62" s="94">
        <f>H61</f>
        <v>0.8</v>
      </c>
      <c r="I62" s="355">
        <f ca="1">F62*G62*H62</f>
        <v>0</v>
      </c>
      <c r="K62" s="87"/>
      <c r="L62" s="87"/>
    </row>
    <row r="63" spans="2:40" ht="16.5" hidden="1" customHeight="1" thickBot="1">
      <c r="B63" s="82" t="s">
        <v>1790</v>
      </c>
      <c r="C63" s="1" t="s">
        <v>354</v>
      </c>
      <c r="F63" s="592">
        <f ca="1">Gebaeude!$F$63</f>
        <v>0</v>
      </c>
      <c r="G63" s="742">
        <v>0.2</v>
      </c>
      <c r="H63" s="94">
        <f>H62</f>
        <v>0.8</v>
      </c>
      <c r="I63" s="355">
        <f ca="1">F63*G63*H63</f>
        <v>0</v>
      </c>
      <c r="K63" s="87"/>
      <c r="L63" s="87"/>
    </row>
    <row r="64" spans="2:40" ht="6.75" hidden="1" customHeight="1">
      <c r="B64" s="82"/>
      <c r="F64" s="619"/>
      <c r="G64" s="747"/>
      <c r="H64" s="94"/>
      <c r="I64" s="355"/>
      <c r="K64" s="87"/>
      <c r="L64" s="87"/>
      <c r="AA64" s="1"/>
      <c r="AB64" s="1"/>
      <c r="AC64" s="1"/>
      <c r="AD64" s="1"/>
      <c r="AE64" s="1"/>
      <c r="AF64" s="1"/>
      <c r="AG64" s="1"/>
      <c r="AH64" s="1"/>
      <c r="AI64" s="1"/>
      <c r="AJ64" s="1"/>
      <c r="AK64" s="1"/>
      <c r="AL64" s="1"/>
      <c r="AM64" s="1"/>
      <c r="AN64" s="1"/>
    </row>
    <row r="65" spans="2:40" ht="16.5" hidden="1" customHeight="1">
      <c r="B65" s="93" t="s">
        <v>37</v>
      </c>
      <c r="F65" s="143"/>
      <c r="G65" s="748"/>
      <c r="I65" s="356"/>
      <c r="K65" s="88">
        <f ca="1">SUM(I66:I68)</f>
        <v>0</v>
      </c>
      <c r="L65" s="87" t="s">
        <v>357</v>
      </c>
    </row>
    <row r="66" spans="2:40" ht="16.5" hidden="1" customHeight="1" thickBot="1">
      <c r="B66" s="82" t="s">
        <v>101</v>
      </c>
      <c r="C66" s="1" t="s">
        <v>2496</v>
      </c>
      <c r="F66" s="592">
        <f ca="1">Gebaeude!$F$66</f>
        <v>0</v>
      </c>
      <c r="G66" s="742">
        <v>0.2</v>
      </c>
      <c r="H66" s="94">
        <f>H63</f>
        <v>0.8</v>
      </c>
      <c r="I66" s="355">
        <f ca="1">F66*G66*H66</f>
        <v>0</v>
      </c>
      <c r="K66" s="87"/>
      <c r="L66" s="87"/>
      <c r="AA66" s="353"/>
      <c r="AB66" s="353" t="s">
        <v>1741</v>
      </c>
      <c r="AC66" s="353"/>
      <c r="AD66" s="353" t="s">
        <v>1742</v>
      </c>
      <c r="AE66" s="353"/>
      <c r="AF66" s="353" t="s">
        <v>1743</v>
      </c>
      <c r="AG66" s="353"/>
      <c r="AH66" s="353"/>
      <c r="AI66" s="353"/>
      <c r="AJ66" s="353"/>
      <c r="AK66" s="353"/>
      <c r="AL66" s="353"/>
      <c r="AM66" s="353"/>
      <c r="AN66" s="353"/>
    </row>
    <row r="67" spans="2:40" ht="16.5" hidden="1" customHeight="1" thickBot="1">
      <c r="B67" s="82" t="s">
        <v>102</v>
      </c>
      <c r="C67" s="1" t="s">
        <v>2496</v>
      </c>
      <c r="F67" s="592">
        <f ca="1">Gebaeude!$F$67</f>
        <v>0</v>
      </c>
      <c r="G67" s="742">
        <v>0.2</v>
      </c>
      <c r="H67" s="94">
        <f>H66</f>
        <v>0.8</v>
      </c>
      <c r="I67" s="355">
        <f ca="1">F67*G67*H67</f>
        <v>0</v>
      </c>
      <c r="K67" s="87"/>
      <c r="L67" s="87"/>
      <c r="AA67" s="575"/>
      <c r="AB67" s="353" t="s">
        <v>1744</v>
      </c>
      <c r="AC67" s="353" t="s">
        <v>1745</v>
      </c>
      <c r="AD67" s="353" t="s">
        <v>1744</v>
      </c>
      <c r="AE67" s="353" t="s">
        <v>1745</v>
      </c>
      <c r="AF67" s="353" t="s">
        <v>1744</v>
      </c>
      <c r="AG67" s="353" t="s">
        <v>1745</v>
      </c>
      <c r="AH67" s="353"/>
      <c r="AI67" s="353"/>
      <c r="AJ67" s="353"/>
      <c r="AK67" s="353"/>
      <c r="AL67" s="353"/>
      <c r="AM67" s="353"/>
    </row>
    <row r="68" spans="2:40" ht="16.5" hidden="1" customHeight="1" thickBot="1">
      <c r="B68" s="82" t="s">
        <v>103</v>
      </c>
      <c r="C68" s="1" t="s">
        <v>2496</v>
      </c>
      <c r="F68" s="592">
        <f ca="1">Gebaeude!$F$68</f>
        <v>0</v>
      </c>
      <c r="G68" s="742">
        <v>0.2</v>
      </c>
      <c r="H68" s="94">
        <f>H67</f>
        <v>0.8</v>
      </c>
      <c r="I68" s="355">
        <f ca="1">F68*G68*H68</f>
        <v>0</v>
      </c>
      <c r="K68" s="87"/>
      <c r="L68" s="87"/>
      <c r="AA68" s="576" t="s">
        <v>40</v>
      </c>
      <c r="AB68" s="353">
        <v>0.4</v>
      </c>
      <c r="AC68" s="353">
        <v>0.6</v>
      </c>
      <c r="AD68" s="353">
        <v>0.4</v>
      </c>
      <c r="AE68" s="353">
        <v>0.6</v>
      </c>
      <c r="AF68" s="353">
        <v>0.4</v>
      </c>
      <c r="AG68" s="353">
        <v>0.6</v>
      </c>
      <c r="AH68" s="353"/>
      <c r="AI68" s="353"/>
      <c r="AJ68" s="353"/>
      <c r="AK68" s="353"/>
      <c r="AL68" s="353"/>
      <c r="AM68" s="353"/>
    </row>
    <row r="69" spans="2:40" ht="6.75" hidden="1" customHeight="1">
      <c r="B69" s="82"/>
      <c r="F69" s="619"/>
      <c r="G69" s="747"/>
      <c r="H69" s="94"/>
      <c r="I69" s="355"/>
      <c r="K69" s="87"/>
      <c r="L69" s="87"/>
      <c r="AA69" s="577" t="s">
        <v>41</v>
      </c>
      <c r="AB69" s="353">
        <v>0.45</v>
      </c>
      <c r="AC69" s="353">
        <v>0.6</v>
      </c>
      <c r="AD69" s="353">
        <v>0.4</v>
      </c>
      <c r="AE69" s="353">
        <v>0.5</v>
      </c>
      <c r="AF69" s="353">
        <v>0.25</v>
      </c>
      <c r="AG69" s="353">
        <v>0.35</v>
      </c>
      <c r="AH69" s="620"/>
      <c r="AI69" s="620"/>
      <c r="AJ69" s="620"/>
      <c r="AK69" s="620"/>
      <c r="AL69" s="620"/>
      <c r="AM69" s="620"/>
      <c r="AN69" s="1"/>
    </row>
    <row r="70" spans="2:40" ht="16.5" hidden="1" customHeight="1">
      <c r="B70" s="93" t="s">
        <v>359</v>
      </c>
      <c r="F70" s="96"/>
      <c r="G70" s="748"/>
      <c r="I70" s="356"/>
      <c r="K70" s="88">
        <f ca="1">SUM(I71:I75)</f>
        <v>0</v>
      </c>
      <c r="L70" s="87" t="s">
        <v>358</v>
      </c>
      <c r="AA70" s="577" t="s">
        <v>39</v>
      </c>
      <c r="AB70" s="353">
        <v>0.3</v>
      </c>
      <c r="AC70" s="353">
        <v>0.45</v>
      </c>
      <c r="AD70" s="353">
        <v>0.25</v>
      </c>
      <c r="AE70" s="353">
        <v>0.4</v>
      </c>
      <c r="AF70" s="353">
        <v>0.2</v>
      </c>
      <c r="AG70" s="353">
        <v>0.35</v>
      </c>
      <c r="AH70" s="353"/>
      <c r="AI70" s="353"/>
      <c r="AJ70" s="353"/>
      <c r="AK70" s="353"/>
      <c r="AL70" s="353"/>
      <c r="AM70" s="353"/>
    </row>
    <row r="71" spans="2:40" ht="16.5" hidden="1" customHeight="1" thickBot="1">
      <c r="B71" s="82" t="s">
        <v>104</v>
      </c>
      <c r="C71" s="1" t="s">
        <v>2497</v>
      </c>
      <c r="F71" s="592">
        <f ca="1">Gebaeude!$F$71</f>
        <v>0</v>
      </c>
      <c r="G71" s="742">
        <v>0.35</v>
      </c>
      <c r="H71" s="94">
        <v>0.5</v>
      </c>
      <c r="I71" s="355">
        <f ca="1">F71*G71*H71</f>
        <v>0</v>
      </c>
      <c r="K71" s="87"/>
      <c r="L71" s="87"/>
      <c r="AA71" s="577" t="s">
        <v>2414</v>
      </c>
      <c r="AB71" s="353">
        <v>0.3</v>
      </c>
      <c r="AC71" s="353">
        <v>0.3</v>
      </c>
      <c r="AD71" s="353">
        <v>0.25</v>
      </c>
      <c r="AE71" s="353">
        <v>0.25</v>
      </c>
      <c r="AF71" s="353">
        <v>0.2</v>
      </c>
      <c r="AG71" s="353">
        <v>0.2</v>
      </c>
      <c r="AH71" s="353"/>
      <c r="AI71" s="353"/>
      <c r="AJ71" s="353"/>
      <c r="AK71" s="353"/>
      <c r="AL71" s="353"/>
      <c r="AM71" s="353"/>
    </row>
    <row r="72" spans="2:40" ht="16.5" hidden="1" customHeight="1" thickBot="1">
      <c r="B72" s="82" t="s">
        <v>105</v>
      </c>
      <c r="C72" s="1" t="s">
        <v>2497</v>
      </c>
      <c r="F72" s="592">
        <f ca="1">Gebaeude!$F$72</f>
        <v>0</v>
      </c>
      <c r="G72" s="742">
        <v>0.35</v>
      </c>
      <c r="H72" s="94">
        <f>H71</f>
        <v>0.5</v>
      </c>
      <c r="I72" s="355">
        <f ca="1">F72*G72*H72</f>
        <v>0</v>
      </c>
      <c r="K72" s="87"/>
      <c r="L72" s="87"/>
      <c r="AA72" s="577" t="s">
        <v>2415</v>
      </c>
      <c r="AB72" s="353">
        <v>0.25</v>
      </c>
      <c r="AC72" s="353">
        <v>0.25</v>
      </c>
      <c r="AD72" s="353">
        <v>0.2</v>
      </c>
      <c r="AE72" s="353">
        <v>0.2</v>
      </c>
      <c r="AF72" s="353">
        <v>0.15</v>
      </c>
      <c r="AG72" s="353">
        <v>0.15</v>
      </c>
      <c r="AH72" s="353"/>
      <c r="AI72" s="353"/>
      <c r="AJ72" s="353"/>
      <c r="AK72" s="353"/>
      <c r="AL72" s="353"/>
      <c r="AM72" s="353"/>
    </row>
    <row r="73" spans="2:40" ht="16.5" hidden="1" customHeight="1" thickBot="1">
      <c r="B73" s="82" t="s">
        <v>106</v>
      </c>
      <c r="C73" s="1" t="s">
        <v>2497</v>
      </c>
      <c r="F73" s="592">
        <f ca="1">Gebaeude!$F$73</f>
        <v>0</v>
      </c>
      <c r="G73" s="742">
        <v>0.35</v>
      </c>
      <c r="H73" s="94">
        <f>H72</f>
        <v>0.5</v>
      </c>
      <c r="I73" s="355">
        <f ca="1">F73*G73*H73</f>
        <v>0</v>
      </c>
      <c r="K73" s="87"/>
      <c r="L73" s="87"/>
      <c r="AA73" s="577" t="s">
        <v>2412</v>
      </c>
      <c r="AB73" s="353">
        <v>0.55000000000000004</v>
      </c>
      <c r="AC73" s="353">
        <v>0.55000000000000004</v>
      </c>
      <c r="AD73" s="353">
        <v>0.5</v>
      </c>
      <c r="AE73" s="353">
        <v>0.5</v>
      </c>
      <c r="AF73" s="353">
        <v>0.45</v>
      </c>
      <c r="AG73" s="353">
        <v>0.45</v>
      </c>
      <c r="AH73" s="353"/>
      <c r="AI73" s="353"/>
      <c r="AJ73" s="353"/>
      <c r="AK73" s="353"/>
      <c r="AL73" s="353"/>
      <c r="AM73" s="353"/>
    </row>
    <row r="74" spans="2:40" ht="16.5" hidden="1" customHeight="1" thickBot="1">
      <c r="B74" s="82" t="s">
        <v>107</v>
      </c>
      <c r="C74" s="1" t="s">
        <v>2497</v>
      </c>
      <c r="F74" s="592">
        <f ca="1">Gebaeude!$F$74</f>
        <v>0</v>
      </c>
      <c r="G74" s="742">
        <v>0.35</v>
      </c>
      <c r="H74" s="94">
        <f>H73</f>
        <v>0.5</v>
      </c>
      <c r="I74" s="355">
        <f ca="1">F74*G74*H74</f>
        <v>0</v>
      </c>
      <c r="K74" s="87"/>
      <c r="L74" s="87"/>
      <c r="AA74" s="577" t="s">
        <v>2413</v>
      </c>
      <c r="AB74" s="353">
        <v>0.7</v>
      </c>
      <c r="AC74" s="353">
        <v>0.7</v>
      </c>
      <c r="AD74" s="353">
        <v>0.65</v>
      </c>
      <c r="AE74" s="353">
        <v>0.65</v>
      </c>
      <c r="AF74" s="353">
        <v>0.55000000000000004</v>
      </c>
      <c r="AG74" s="353">
        <v>0.55000000000000004</v>
      </c>
      <c r="AH74" s="353"/>
      <c r="AI74" s="353"/>
      <c r="AJ74" s="353"/>
      <c r="AK74" s="353"/>
      <c r="AL74" s="353"/>
      <c r="AM74" s="353"/>
    </row>
    <row r="75" spans="2:40" ht="16.5" hidden="1" customHeight="1">
      <c r="B75" s="117" t="s">
        <v>108</v>
      </c>
      <c r="C75" s="1" t="s">
        <v>2497</v>
      </c>
      <c r="D75" s="86"/>
      <c r="E75" s="86"/>
      <c r="F75" s="634">
        <f ca="1">Gebaeude!$F$75</f>
        <v>0</v>
      </c>
      <c r="G75" s="743">
        <v>0.35</v>
      </c>
      <c r="H75" s="624">
        <f>H74</f>
        <v>0.5</v>
      </c>
      <c r="I75" s="626">
        <f ca="1">F75*G75*H75</f>
        <v>0</v>
      </c>
      <c r="K75" s="87"/>
      <c r="L75" s="87"/>
      <c r="AA75" s="578" t="s">
        <v>43</v>
      </c>
      <c r="AB75" s="353">
        <v>0.9</v>
      </c>
      <c r="AC75" s="353">
        <v>0.9</v>
      </c>
      <c r="AD75" s="353">
        <v>0.9</v>
      </c>
      <c r="AE75" s="353">
        <v>0.9</v>
      </c>
      <c r="AF75" s="353">
        <v>0.9</v>
      </c>
      <c r="AG75" s="353">
        <v>0.9</v>
      </c>
      <c r="AH75" s="353"/>
      <c r="AI75" s="353"/>
      <c r="AJ75" s="353"/>
      <c r="AK75" s="353"/>
      <c r="AL75" s="353"/>
      <c r="AM75" s="353"/>
    </row>
    <row r="76" spans="2:40" ht="26.4" hidden="1">
      <c r="B76" s="621" t="s">
        <v>9</v>
      </c>
      <c r="C76" s="622" t="s">
        <v>38</v>
      </c>
      <c r="D76" s="622" t="s">
        <v>75</v>
      </c>
      <c r="E76" s="622" t="s">
        <v>1795</v>
      </c>
      <c r="F76" s="635" t="s">
        <v>0</v>
      </c>
      <c r="G76" s="749" t="s">
        <v>1</v>
      </c>
      <c r="H76" s="622" t="s">
        <v>2</v>
      </c>
      <c r="I76" s="623" t="s">
        <v>3</v>
      </c>
      <c r="K76" s="87"/>
      <c r="L76" s="87"/>
      <c r="AH76" s="353"/>
      <c r="AI76" s="353"/>
      <c r="AJ76" s="353"/>
      <c r="AK76" s="353"/>
      <c r="AL76" s="353"/>
      <c r="AM76" s="353"/>
    </row>
    <row r="77" spans="2:40" ht="16.5" hidden="1" customHeight="1">
      <c r="B77" s="344"/>
      <c r="C77" s="309"/>
      <c r="D77" s="346" t="s">
        <v>76</v>
      </c>
      <c r="E77" s="309" t="s">
        <v>115</v>
      </c>
      <c r="F77" s="618" t="s">
        <v>8</v>
      </c>
      <c r="G77" s="750" t="s">
        <v>5</v>
      </c>
      <c r="H77" s="618" t="s">
        <v>6</v>
      </c>
      <c r="I77" s="709" t="s">
        <v>2458</v>
      </c>
      <c r="K77" s="87"/>
      <c r="L77" s="87"/>
      <c r="AA77" s="732" t="s">
        <v>42</v>
      </c>
      <c r="AB77" s="580">
        <v>0.2</v>
      </c>
      <c r="AC77" s="580">
        <v>0.55000000000000004</v>
      </c>
      <c r="AD77" s="580">
        <v>0.15</v>
      </c>
      <c r="AE77" s="580">
        <v>0.5</v>
      </c>
      <c r="AF77" s="580">
        <v>0.1</v>
      </c>
      <c r="AG77" s="580">
        <v>0.35</v>
      </c>
      <c r="AH77" s="353"/>
      <c r="AI77" s="353"/>
      <c r="AJ77" s="353"/>
      <c r="AK77" s="353"/>
      <c r="AL77" s="353"/>
      <c r="AM77" s="353"/>
    </row>
    <row r="78" spans="2:40" ht="16.5" hidden="1" customHeight="1">
      <c r="B78" s="97" t="s">
        <v>1786</v>
      </c>
      <c r="C78" s="72"/>
      <c r="E78" s="96"/>
      <c r="F78" s="96"/>
      <c r="G78" s="751"/>
      <c r="I78" s="356"/>
      <c r="K78" s="88">
        <f ca="1">SUM(I83:I95)</f>
        <v>36.393538749999998</v>
      </c>
      <c r="L78" s="87" t="s">
        <v>360</v>
      </c>
      <c r="AA78" s="579" t="s">
        <v>44</v>
      </c>
      <c r="AB78" s="580" t="s">
        <v>79</v>
      </c>
      <c r="AC78" s="580" t="s">
        <v>79</v>
      </c>
      <c r="AD78" s="580" t="s">
        <v>79</v>
      </c>
      <c r="AE78" s="580" t="s">
        <v>79</v>
      </c>
      <c r="AF78" s="580" t="s">
        <v>79</v>
      </c>
      <c r="AG78" s="580" t="s">
        <v>79</v>
      </c>
      <c r="AH78" s="580"/>
      <c r="AI78" s="580"/>
      <c r="AJ78" s="580"/>
      <c r="AK78" s="580"/>
      <c r="AL78" s="580"/>
      <c r="AM78" s="580"/>
    </row>
    <row r="79" spans="2:40" ht="16.5" hidden="1" customHeight="1">
      <c r="B79" s="93" t="s">
        <v>1787</v>
      </c>
      <c r="C79" s="72"/>
      <c r="E79" s="96"/>
      <c r="F79" s="96"/>
      <c r="G79" s="751"/>
      <c r="I79" s="356"/>
      <c r="K79" s="87"/>
      <c r="L79" s="87"/>
    </row>
    <row r="80" spans="2:40" ht="16.5" hidden="1" customHeight="1" thickBot="1">
      <c r="B80" s="82" t="s">
        <v>69</v>
      </c>
      <c r="E80" s="595">
        <f ca="1">Gebaeude!$E$80</f>
        <v>81.418099999999995</v>
      </c>
      <c r="G80" s="752" t="s">
        <v>1740</v>
      </c>
      <c r="H80" s="98">
        <f ca="1">IF(E81&gt;0,E80/(0.5*E81),"")</f>
        <v>4.4784433443344334</v>
      </c>
      <c r="I80" s="356"/>
      <c r="K80" s="87"/>
      <c r="L80" s="87"/>
      <c r="M80" s="129"/>
      <c r="N80" s="129"/>
      <c r="O80" s="129"/>
      <c r="AC80" s="581" t="s">
        <v>1747</v>
      </c>
    </row>
    <row r="81" spans="2:40" ht="16.5" hidden="1" customHeight="1">
      <c r="B81" s="82" t="s">
        <v>1105</v>
      </c>
      <c r="E81" s="593">
        <f ca="1">Gebaeude!$E$81</f>
        <v>36.36</v>
      </c>
      <c r="F81" s="3"/>
      <c r="G81" s="751"/>
      <c r="I81" s="356"/>
      <c r="K81" s="87"/>
      <c r="L81" s="87"/>
      <c r="M81" s="129"/>
      <c r="N81" s="129"/>
      <c r="O81" s="129"/>
      <c r="AA81" s="581" t="s">
        <v>1656</v>
      </c>
      <c r="AB81" s="581" t="s">
        <v>1746</v>
      </c>
      <c r="AC81" s="581" t="s">
        <v>1748</v>
      </c>
      <c r="AD81" s="581" t="s">
        <v>1746</v>
      </c>
      <c r="AE81" s="581"/>
      <c r="AF81" s="581"/>
      <c r="AG81" s="581"/>
      <c r="AH81" s="581"/>
      <c r="AI81" s="581"/>
      <c r="AJ81" s="581"/>
      <c r="AK81" s="581"/>
      <c r="AL81" s="581"/>
      <c r="AM81" s="581"/>
      <c r="AN81" s="581"/>
    </row>
    <row r="82" spans="2:40" ht="6.75" hidden="1" customHeight="1">
      <c r="B82" s="82"/>
      <c r="E82" s="617"/>
      <c r="F82" s="3"/>
      <c r="G82" s="751"/>
      <c r="I82" s="356"/>
      <c r="K82" s="87"/>
      <c r="L82" s="87"/>
      <c r="M82" s="129"/>
      <c r="N82" s="129"/>
      <c r="O82" s="129"/>
      <c r="AA82" s="627"/>
      <c r="AB82" s="627"/>
      <c r="AC82" s="627"/>
      <c r="AD82" s="627"/>
      <c r="AE82" s="627"/>
      <c r="AF82" s="627"/>
      <c r="AG82" s="627"/>
      <c r="AH82" s="627"/>
      <c r="AI82" s="627"/>
      <c r="AJ82" s="627"/>
      <c r="AK82" s="627"/>
      <c r="AL82" s="627"/>
      <c r="AM82" s="627"/>
      <c r="AN82" s="627"/>
    </row>
    <row r="83" spans="2:40" ht="16.5" hidden="1" customHeight="1" thickBot="1">
      <c r="B83" s="82" t="s">
        <v>109</v>
      </c>
      <c r="C83" s="1207" t="str">
        <f>Gebaeude!$C$83</f>
        <v>Fußboden beheizter Keller</v>
      </c>
      <c r="D83" s="1208"/>
      <c r="E83" s="1209"/>
      <c r="F83" s="592">
        <f ca="1">Gebaeude!$F$83</f>
        <v>81.418099999999995</v>
      </c>
      <c r="G83" s="742">
        <v>0.35</v>
      </c>
      <c r="H83" s="96">
        <f ca="1">Gebaeude!H83</f>
        <v>0.45</v>
      </c>
      <c r="I83" s="355">
        <f ca="1">F83*G83*H83</f>
        <v>12.823350749999998</v>
      </c>
      <c r="K83" s="87"/>
      <c r="L83" s="87"/>
      <c r="M83" s="129"/>
      <c r="N83" s="129"/>
      <c r="O83" s="129"/>
      <c r="AA83" s="582">
        <f>IF(ISERROR(SEARCH("Wand",C83)),0.17,0.13)</f>
        <v>0.17</v>
      </c>
      <c r="AB83" s="582">
        <f>IF(G83&gt;0,1/(G83-AA83),0)</f>
        <v>5.5555555555555562</v>
      </c>
      <c r="AC83" s="582">
        <f ca="1">IF($H$80&lt;5,1,IF($H$80&gt;10,5,3))</f>
        <v>1</v>
      </c>
      <c r="AD83" s="582">
        <f>IF(AB83&lt;=1,0,1)</f>
        <v>1</v>
      </c>
      <c r="AE83" s="582"/>
      <c r="AF83" s="582"/>
      <c r="AG83" s="582"/>
      <c r="AH83" s="582"/>
      <c r="AI83" s="582"/>
      <c r="AJ83" s="582"/>
      <c r="AK83" s="582"/>
      <c r="AL83" s="582"/>
      <c r="AM83" s="582"/>
      <c r="AN83" s="582"/>
    </row>
    <row r="84" spans="2:40" ht="16.5" hidden="1" customHeight="1" thickBot="1">
      <c r="B84" s="82" t="s">
        <v>110</v>
      </c>
      <c r="C84" s="1210" t="str">
        <f>Gebaeude!$C$84</f>
        <v>Wand beheizter Keller</v>
      </c>
      <c r="D84" s="1211"/>
      <c r="E84" s="1212"/>
      <c r="F84" s="592">
        <f ca="1">Gebaeude!$F$84</f>
        <v>96.762799999999999</v>
      </c>
      <c r="G84" s="742">
        <v>0.35</v>
      </c>
      <c r="H84" s="96">
        <f ca="1">Gebaeude!H84</f>
        <v>0.6</v>
      </c>
      <c r="I84" s="355">
        <f ca="1">F84*G84*H84</f>
        <v>20.320187999999998</v>
      </c>
      <c r="K84" s="87"/>
      <c r="L84" s="87"/>
      <c r="M84" s="129"/>
      <c r="N84" s="129"/>
      <c r="O84" s="129"/>
      <c r="AA84" s="582">
        <f>IF(ISERROR(SEARCH("Wand",C84)),0.17,0.13)</f>
        <v>0.13</v>
      </c>
      <c r="AB84" s="582">
        <f>IF(G84&gt;0,1/(G84-AA84),0)</f>
        <v>4.5454545454545459</v>
      </c>
      <c r="AC84" s="582">
        <f ca="1">IF($H$80&lt;5,1,IF($H$80&gt;10,5,3))</f>
        <v>1</v>
      </c>
      <c r="AD84" s="582">
        <f>IF(AB84&lt;=1,0,1)</f>
        <v>1</v>
      </c>
      <c r="AE84" s="582"/>
      <c r="AF84" s="582"/>
      <c r="AG84" s="582"/>
      <c r="AH84" s="582"/>
      <c r="AI84" s="582"/>
      <c r="AJ84" s="582"/>
      <c r="AK84" s="582"/>
      <c r="AL84" s="582"/>
      <c r="AM84" s="582"/>
      <c r="AN84" s="582"/>
    </row>
    <row r="85" spans="2:40" ht="16.5" hidden="1" customHeight="1" thickBot="1">
      <c r="B85" s="82" t="s">
        <v>111</v>
      </c>
      <c r="C85" s="1210">
        <f>Gebaeude!$C$85</f>
        <v>0</v>
      </c>
      <c r="D85" s="1211"/>
      <c r="E85" s="1212"/>
      <c r="F85" s="592">
        <f ca="1">Gebaeude!$F$85</f>
        <v>0</v>
      </c>
      <c r="G85" s="742">
        <v>0.35</v>
      </c>
      <c r="H85" s="96">
        <f>Gebaeude!H85</f>
        <v>0</v>
      </c>
      <c r="I85" s="355">
        <f ca="1">F85*G85*H85</f>
        <v>0</v>
      </c>
      <c r="K85" s="87"/>
      <c r="L85" s="87"/>
      <c r="M85" s="129"/>
      <c r="N85" s="129"/>
      <c r="O85" s="129"/>
      <c r="AA85" s="582">
        <f>IF(ISERROR(SEARCH("Wand",C85)),0.17,0.13)</f>
        <v>0.17</v>
      </c>
      <c r="AB85" s="582">
        <f>IF(G85&gt;0,1/(G85-AA85),0)</f>
        <v>5.5555555555555562</v>
      </c>
      <c r="AC85" s="582">
        <f ca="1">IF($H$80&lt;5,1,IF($H$80&gt;10,5,3))</f>
        <v>1</v>
      </c>
      <c r="AD85" s="582">
        <f>IF(AB85&lt;=1,0,1)</f>
        <v>1</v>
      </c>
      <c r="AE85" s="582"/>
      <c r="AF85" s="582"/>
      <c r="AG85" s="582"/>
      <c r="AH85" s="582"/>
      <c r="AI85" s="582"/>
      <c r="AJ85" s="582"/>
      <c r="AK85" s="582"/>
      <c r="AL85" s="582"/>
      <c r="AM85" s="582"/>
      <c r="AN85" s="582"/>
    </row>
    <row r="86" spans="2:40" ht="16.5" hidden="1" customHeight="1" thickBot="1">
      <c r="B86" s="82" t="s">
        <v>112</v>
      </c>
      <c r="C86" s="1210">
        <f>Gebaeude!$C$86</f>
        <v>0</v>
      </c>
      <c r="D86" s="1211"/>
      <c r="E86" s="1212"/>
      <c r="F86" s="592">
        <f ca="1">Gebaeude!$F$86</f>
        <v>0</v>
      </c>
      <c r="G86" s="742">
        <v>0.35</v>
      </c>
      <c r="H86" s="96">
        <f>Gebaeude!H86</f>
        <v>0</v>
      </c>
      <c r="I86" s="355">
        <f ca="1">F86*G86*H86</f>
        <v>0</v>
      </c>
      <c r="K86" s="87"/>
      <c r="L86" s="87"/>
      <c r="M86" s="129"/>
      <c r="N86" s="129"/>
      <c r="O86" s="129"/>
      <c r="AA86" s="582">
        <f>IF(ISERROR(SEARCH("Wand",C86)),0.17,0.13)</f>
        <v>0.17</v>
      </c>
      <c r="AB86" s="582">
        <f>IF(G86&gt;0,1/(G86-AA86),0)</f>
        <v>5.5555555555555562</v>
      </c>
      <c r="AC86" s="582">
        <f ca="1">IF($H$80&lt;5,1,IF($H$80&gt;10,5,3))</f>
        <v>1</v>
      </c>
      <c r="AD86" s="582">
        <f>IF(AB86&lt;=1,0,1)</f>
        <v>1</v>
      </c>
      <c r="AE86" s="582"/>
      <c r="AF86" s="582"/>
      <c r="AG86" s="582"/>
      <c r="AH86" s="582"/>
      <c r="AI86" s="582"/>
      <c r="AJ86" s="582"/>
      <c r="AK86" s="582"/>
      <c r="AL86" s="582"/>
      <c r="AM86" s="582"/>
      <c r="AN86" s="582"/>
    </row>
    <row r="87" spans="2:40" ht="16.5" hidden="1" customHeight="1" thickBot="1">
      <c r="B87" s="82" t="s">
        <v>113</v>
      </c>
      <c r="C87" s="1204">
        <f>Gebaeude!$C$87</f>
        <v>0</v>
      </c>
      <c r="D87" s="1205"/>
      <c r="E87" s="1206"/>
      <c r="F87" s="592">
        <f ca="1">Gebaeude!$F$87</f>
        <v>0</v>
      </c>
      <c r="G87" s="742">
        <v>0.35</v>
      </c>
      <c r="H87" s="96">
        <f>Gebaeude!H87</f>
        <v>0</v>
      </c>
      <c r="I87" s="355">
        <f ca="1">F87*G87*H87</f>
        <v>0</v>
      </c>
      <c r="K87" s="87"/>
      <c r="L87" s="87"/>
      <c r="M87" s="129"/>
      <c r="N87" s="129"/>
      <c r="O87" s="129"/>
      <c r="AA87" s="582">
        <f>IF(ISERROR(SEARCH("Wand",C87)),0.17,0.13)</f>
        <v>0.17</v>
      </c>
      <c r="AB87" s="582">
        <f>IF(G87&gt;0,1/(G87-AA87),0)</f>
        <v>5.5555555555555562</v>
      </c>
      <c r="AC87" s="582">
        <f ca="1">IF($H$80&lt;5,1,IF($H$80&gt;10,5,3))</f>
        <v>1</v>
      </c>
      <c r="AD87" s="582">
        <f>IF(AB87&lt;=1,0,1)</f>
        <v>1</v>
      </c>
      <c r="AE87" s="582"/>
      <c r="AF87" s="582"/>
      <c r="AG87" s="582"/>
      <c r="AH87" s="582"/>
      <c r="AI87" s="582"/>
      <c r="AJ87" s="582"/>
      <c r="AK87" s="582"/>
      <c r="AL87" s="582"/>
      <c r="AM87" s="582"/>
      <c r="AN87" s="582"/>
    </row>
    <row r="88" spans="2:40" ht="6.75" hidden="1" customHeight="1">
      <c r="B88" s="82"/>
      <c r="C88" s="607"/>
      <c r="D88" s="607"/>
      <c r="E88" s="607"/>
      <c r="F88" s="619"/>
      <c r="G88" s="747"/>
      <c r="H88" s="96"/>
      <c r="I88" s="355"/>
      <c r="K88" s="87"/>
      <c r="L88" s="87"/>
      <c r="M88" s="129"/>
      <c r="N88" s="129"/>
      <c r="O88" s="129"/>
      <c r="AA88" s="7"/>
      <c r="AB88" s="7"/>
      <c r="AC88" s="7"/>
      <c r="AD88" s="7"/>
      <c r="AE88" s="7"/>
      <c r="AF88" s="7"/>
      <c r="AG88" s="7"/>
      <c r="AH88" s="7"/>
      <c r="AI88" s="7"/>
      <c r="AJ88" s="7"/>
      <c r="AK88" s="7"/>
      <c r="AL88" s="7"/>
      <c r="AM88" s="7"/>
      <c r="AN88" s="7"/>
    </row>
    <row r="89" spans="2:40" ht="16.5" hidden="1" customHeight="1">
      <c r="B89" s="93" t="s">
        <v>2304</v>
      </c>
      <c r="F89" s="96"/>
      <c r="G89" s="748"/>
      <c r="I89" s="356"/>
      <c r="K89" s="87"/>
      <c r="L89" s="87"/>
      <c r="M89" s="129"/>
      <c r="N89" s="129"/>
      <c r="O89" s="129"/>
    </row>
    <row r="90" spans="2:40" ht="16.5" hidden="1" customHeight="1" thickBot="1">
      <c r="B90" s="82" t="s">
        <v>1791</v>
      </c>
      <c r="C90" s="1" t="s">
        <v>12</v>
      </c>
      <c r="D90" s="606" t="str">
        <f>Gebaeude!$D$90</f>
        <v>G 2</v>
      </c>
      <c r="F90" s="592">
        <f ca="1">Gebaeude!$F$90</f>
        <v>2.5</v>
      </c>
      <c r="G90" s="742">
        <v>1.3</v>
      </c>
      <c r="H90" s="630">
        <v>1</v>
      </c>
      <c r="I90" s="355">
        <f ca="1">F90*G90*H90</f>
        <v>3.25</v>
      </c>
      <c r="K90" s="87"/>
      <c r="L90" s="87"/>
      <c r="M90" s="129"/>
      <c r="N90" s="129"/>
      <c r="O90" s="129"/>
    </row>
    <row r="91" spans="2:40" ht="16.5" hidden="1" customHeight="1" thickBot="1">
      <c r="B91" s="82" t="s">
        <v>1792</v>
      </c>
      <c r="C91" s="1" t="s">
        <v>12</v>
      </c>
      <c r="D91" s="606">
        <f>Gebaeude!$D$91</f>
        <v>0</v>
      </c>
      <c r="F91" s="592">
        <f ca="1">Gebaeude!$F$91</f>
        <v>0</v>
      </c>
      <c r="G91" s="742">
        <v>1.3</v>
      </c>
      <c r="H91" s="630">
        <f>H90</f>
        <v>1</v>
      </c>
      <c r="I91" s="355">
        <f ca="1">F91*G91*H91</f>
        <v>0</v>
      </c>
      <c r="K91" s="87"/>
      <c r="L91" s="87"/>
      <c r="M91" s="129"/>
      <c r="N91" s="129"/>
      <c r="O91" s="129"/>
    </row>
    <row r="92" spans="2:40" ht="6.75" hidden="1" customHeight="1">
      <c r="B92" s="82"/>
      <c r="D92" s="607"/>
      <c r="F92" s="619"/>
      <c r="G92" s="747"/>
      <c r="H92" s="630"/>
      <c r="I92" s="355"/>
      <c r="K92" s="87"/>
      <c r="L92" s="87"/>
      <c r="M92" s="129"/>
      <c r="N92" s="129"/>
      <c r="O92" s="129"/>
      <c r="AA92" s="1"/>
      <c r="AB92" s="1"/>
      <c r="AC92" s="1"/>
      <c r="AD92" s="1"/>
      <c r="AE92" s="1"/>
      <c r="AF92" s="1"/>
      <c r="AG92" s="1"/>
      <c r="AH92" s="1"/>
      <c r="AI92" s="1"/>
      <c r="AJ92" s="1"/>
      <c r="AK92" s="1"/>
      <c r="AL92" s="1"/>
      <c r="AM92" s="1"/>
      <c r="AN92" s="1"/>
    </row>
    <row r="93" spans="2:40" ht="16.5" hidden="1" customHeight="1">
      <c r="B93" s="93" t="s">
        <v>2499</v>
      </c>
      <c r="F93" s="96"/>
      <c r="G93" s="748"/>
      <c r="H93" s="631"/>
      <c r="I93" s="356"/>
      <c r="K93" s="87"/>
      <c r="L93" s="87"/>
      <c r="M93" s="129"/>
      <c r="N93" s="129"/>
      <c r="O93" s="129"/>
    </row>
    <row r="94" spans="2:40" ht="16.5" hidden="1" customHeight="1" thickBot="1">
      <c r="B94" s="82" t="s">
        <v>1793</v>
      </c>
      <c r="C94" s="1" t="s">
        <v>2498</v>
      </c>
      <c r="F94" s="592">
        <f ca="1">Gebaeude!$F$94</f>
        <v>0</v>
      </c>
      <c r="G94" s="744">
        <v>0.28000000000000003</v>
      </c>
      <c r="H94" s="630">
        <v>1</v>
      </c>
      <c r="I94" s="355">
        <f ca="1">F94*G94*H94</f>
        <v>0</v>
      </c>
      <c r="K94" s="87"/>
      <c r="L94" s="87"/>
      <c r="M94" s="129"/>
      <c r="N94" s="129"/>
      <c r="O94" s="129"/>
    </row>
    <row r="95" spans="2:40" ht="16.5" hidden="1" customHeight="1">
      <c r="B95" s="82" t="s">
        <v>1794</v>
      </c>
      <c r="C95" s="1" t="s">
        <v>2498</v>
      </c>
      <c r="F95" s="596">
        <f ca="1">Gebaeude!$F$95</f>
        <v>0</v>
      </c>
      <c r="G95" s="745">
        <v>0.28000000000000003</v>
      </c>
      <c r="H95" s="630">
        <f>H94</f>
        <v>1</v>
      </c>
      <c r="I95" s="355">
        <f ca="1">F95*G95*H95</f>
        <v>0</v>
      </c>
      <c r="K95" s="87"/>
      <c r="L95" s="87"/>
      <c r="M95" s="129"/>
      <c r="N95" s="129"/>
      <c r="O95" s="129"/>
      <c r="AA95" s="193"/>
    </row>
    <row r="96" spans="2:40" ht="6.75" hidden="1" customHeight="1">
      <c r="B96" s="82"/>
      <c r="F96" s="619"/>
      <c r="G96" s="617"/>
      <c r="H96" s="94"/>
      <c r="I96" s="355"/>
      <c r="K96" s="87"/>
      <c r="L96" s="87"/>
      <c r="M96" s="129"/>
      <c r="N96" s="129"/>
      <c r="O96" s="129"/>
      <c r="AA96" s="129"/>
      <c r="AB96" s="1"/>
      <c r="AC96" s="1"/>
      <c r="AD96" s="1"/>
      <c r="AE96" s="1"/>
      <c r="AF96" s="1"/>
      <c r="AG96" s="1"/>
      <c r="AH96" s="1"/>
      <c r="AI96" s="1"/>
      <c r="AJ96" s="1"/>
      <c r="AK96" s="1"/>
      <c r="AL96" s="1"/>
      <c r="AM96" s="1"/>
      <c r="AN96" s="1"/>
    </row>
    <row r="97" spans="2:24" ht="16.5" hidden="1" customHeight="1">
      <c r="B97" s="93" t="s">
        <v>67</v>
      </c>
      <c r="E97" s="99" t="s">
        <v>1739</v>
      </c>
      <c r="F97" s="98">
        <f ca="1">SUM(F18:F95)</f>
        <v>465.83460000000002</v>
      </c>
      <c r="I97" s="356"/>
      <c r="K97" s="87"/>
      <c r="L97" s="87"/>
      <c r="M97" s="129"/>
      <c r="N97" s="129"/>
      <c r="O97" s="129"/>
      <c r="P97" s="129"/>
    </row>
    <row r="98" spans="2:24" ht="16.5" hidden="1" customHeight="1">
      <c r="B98" s="628" t="s">
        <v>171</v>
      </c>
      <c r="H98" s="359" t="s">
        <v>1750</v>
      </c>
      <c r="I98" s="100">
        <f ca="1">SUM(I18:I95)</f>
        <v>144.89924275000001</v>
      </c>
      <c r="K98" s="87"/>
      <c r="L98" s="87"/>
      <c r="M98" s="129"/>
      <c r="N98" s="129"/>
      <c r="O98" s="129"/>
      <c r="P98" s="129"/>
    </row>
    <row r="99" spans="2:24" ht="6.75" hidden="1" customHeight="1">
      <c r="B99" s="354"/>
      <c r="C99" s="86"/>
      <c r="D99" s="86"/>
      <c r="E99" s="86"/>
      <c r="F99" s="86"/>
      <c r="G99" s="86"/>
      <c r="H99" s="358"/>
      <c r="I99" s="102"/>
      <c r="K99" s="87"/>
      <c r="L99" s="87"/>
      <c r="M99" s="129"/>
      <c r="N99" s="129"/>
      <c r="O99" s="129"/>
      <c r="P99" s="129"/>
    </row>
    <row r="100" spans="2:24" ht="16.5" hidden="1" customHeight="1">
      <c r="B100" s="93" t="s">
        <v>1804</v>
      </c>
      <c r="F100" s="3" t="s">
        <v>68</v>
      </c>
      <c r="G100" s="1213" t="s">
        <v>2832</v>
      </c>
      <c r="H100" s="1202"/>
      <c r="I100" s="1203"/>
      <c r="K100" s="87">
        <f ca="1">I105*F97</f>
        <v>23.291730000000001</v>
      </c>
      <c r="L100" s="87" t="s">
        <v>361</v>
      </c>
      <c r="N100" s="129"/>
      <c r="O100" s="129"/>
      <c r="P100" s="129"/>
    </row>
    <row r="101" spans="2:24" ht="16.5" hidden="1" customHeight="1">
      <c r="B101" s="82" t="s">
        <v>46</v>
      </c>
      <c r="G101" s="101"/>
      <c r="H101" s="3" t="s">
        <v>65</v>
      </c>
      <c r="I101" s="95" t="str">
        <f>IF($G$100=B101,0.1,"")</f>
        <v/>
      </c>
      <c r="K101" s="87"/>
      <c r="L101" s="87"/>
      <c r="M101" s="131"/>
      <c r="N101" s="129"/>
      <c r="O101" s="129"/>
      <c r="P101" s="129"/>
    </row>
    <row r="102" spans="2:24" ht="16.5" hidden="1" customHeight="1">
      <c r="B102" s="82" t="s">
        <v>2832</v>
      </c>
      <c r="H102" s="3" t="s">
        <v>66</v>
      </c>
      <c r="I102" s="95">
        <f>IF($G$100=B102,0.05,"")</f>
        <v>0.05</v>
      </c>
      <c r="K102" s="87"/>
      <c r="L102" s="87"/>
      <c r="M102" s="131"/>
      <c r="N102" s="129"/>
      <c r="O102" s="129"/>
      <c r="P102" s="129"/>
    </row>
    <row r="103" spans="2:24" ht="16.5" hidden="1" customHeight="1">
      <c r="B103" s="82" t="s">
        <v>2833</v>
      </c>
      <c r="H103" s="3" t="s">
        <v>2834</v>
      </c>
      <c r="I103" s="95" t="str">
        <f>IF($G$100=B103,0.03,"")</f>
        <v/>
      </c>
      <c r="K103" s="87"/>
      <c r="L103" s="87"/>
      <c r="M103" s="131"/>
      <c r="N103" s="129"/>
      <c r="O103" s="129"/>
      <c r="P103" s="129"/>
    </row>
    <row r="104" spans="2:24" ht="16.5" hidden="1" customHeight="1">
      <c r="B104" s="82" t="s">
        <v>45</v>
      </c>
      <c r="H104" s="3" t="s">
        <v>156</v>
      </c>
      <c r="I104" s="598"/>
      <c r="K104" s="87"/>
      <c r="L104" s="87"/>
    </row>
    <row r="105" spans="2:24" ht="16.5" hidden="1" customHeight="1">
      <c r="B105" s="82"/>
      <c r="H105" s="3" t="s">
        <v>1762</v>
      </c>
      <c r="I105" s="146">
        <f>VLOOKUP(G100,B101:I104,8,FALSE)</f>
        <v>0.05</v>
      </c>
      <c r="K105" s="87"/>
      <c r="L105" s="87"/>
    </row>
    <row r="106" spans="2:24" ht="16.5" hidden="1" customHeight="1">
      <c r="B106" s="93" t="s">
        <v>3262</v>
      </c>
      <c r="I106" s="85"/>
      <c r="K106" s="87"/>
      <c r="L106" s="87"/>
    </row>
    <row r="107" spans="2:24" ht="16.5" hidden="1" customHeight="1">
      <c r="B107" s="93" t="s">
        <v>170</v>
      </c>
      <c r="H107" s="359" t="s">
        <v>1751</v>
      </c>
      <c r="I107" s="100">
        <f ca="1">I98+F97*I105</f>
        <v>168.19097275000001</v>
      </c>
      <c r="K107" s="87"/>
      <c r="L107" s="87"/>
    </row>
    <row r="108" spans="2:24" ht="6.75" hidden="1" customHeight="1">
      <c r="B108" s="93"/>
      <c r="H108" s="359"/>
      <c r="I108" s="100"/>
      <c r="K108" s="87"/>
      <c r="L108" s="87"/>
    </row>
    <row r="109" spans="2:24" ht="16.5" customHeight="1">
      <c r="B109" s="106" t="s">
        <v>167</v>
      </c>
      <c r="C109" s="90"/>
      <c r="D109" s="90"/>
      <c r="E109" s="90"/>
      <c r="F109" s="90"/>
      <c r="G109" s="90"/>
      <c r="H109" s="90"/>
      <c r="I109" s="91"/>
      <c r="K109" s="87">
        <f>ROW(B110)</f>
        <v>110</v>
      </c>
      <c r="L109" s="87">
        <f>ROW(B111)</f>
        <v>111</v>
      </c>
      <c r="M109" s="8" t="s">
        <v>801</v>
      </c>
    </row>
    <row r="110" spans="2:24" ht="16.5" hidden="1" customHeight="1">
      <c r="B110" s="93" t="s">
        <v>172</v>
      </c>
      <c r="H110" s="3" t="s">
        <v>1749</v>
      </c>
      <c r="I110" s="114">
        <f ca="1">SUM(M110:X110)</f>
        <v>13930.249127046005</v>
      </c>
      <c r="K110" s="87"/>
      <c r="L110" s="87"/>
      <c r="M110" s="9">
        <f t="shared" ref="M110:X110" ca="1" si="7">IF($I$107&gt;0,0.024*$I$107*(19-M$306)*M$307,0)</f>
        <v>2252.4135070680004</v>
      </c>
      <c r="N110" s="9">
        <f t="shared" ca="1" si="7"/>
        <v>1932.7161060648004</v>
      </c>
      <c r="O110" s="9">
        <f t="shared" ca="1" si="7"/>
        <v>1789.4173972818003</v>
      </c>
      <c r="P110" s="9">
        <f t="shared" ca="1" si="7"/>
        <v>1186.7555037240002</v>
      </c>
      <c r="Q110" s="9">
        <f t="shared" ca="1" si="7"/>
        <v>613.15701025740009</v>
      </c>
      <c r="R110" s="9">
        <f t="shared" ca="1" si="7"/>
        <v>278.52425087400013</v>
      </c>
      <c r="S110" s="9">
        <f t="shared" ca="1" si="7"/>
        <v>0</v>
      </c>
      <c r="T110" s="9">
        <f t="shared" ca="1" si="7"/>
        <v>50.053633490399825</v>
      </c>
      <c r="U110" s="9">
        <f t="shared" ca="1" si="7"/>
        <v>569.15825178600005</v>
      </c>
      <c r="V110" s="9">
        <f t="shared" ca="1" si="7"/>
        <v>1188.7737953970002</v>
      </c>
      <c r="W110" s="9">
        <f t="shared" ca="1" si="7"/>
        <v>1804.3527556620004</v>
      </c>
      <c r="X110" s="9">
        <f t="shared" ca="1" si="7"/>
        <v>2264.9269154406006</v>
      </c>
    </row>
    <row r="111" spans="2:24" ht="6.75" hidden="1" customHeight="1">
      <c r="B111" s="107"/>
      <c r="C111" s="86"/>
      <c r="D111" s="86"/>
      <c r="E111" s="86"/>
      <c r="F111" s="86"/>
      <c r="G111" s="86"/>
      <c r="H111" s="108"/>
      <c r="I111" s="109"/>
      <c r="K111" s="87"/>
      <c r="L111" s="87"/>
      <c r="M111" s="9"/>
      <c r="N111" s="9"/>
      <c r="O111" s="9"/>
      <c r="P111" s="9"/>
      <c r="Q111" s="9"/>
      <c r="R111" s="9"/>
      <c r="S111" s="9"/>
      <c r="T111" s="9"/>
      <c r="U111" s="9"/>
      <c r="V111" s="9"/>
      <c r="W111" s="9"/>
      <c r="X111" s="9"/>
    </row>
    <row r="112" spans="2:24" ht="16.5" customHeight="1">
      <c r="B112" s="106" t="s">
        <v>168</v>
      </c>
      <c r="C112" s="90"/>
      <c r="D112" s="90"/>
      <c r="E112" s="90"/>
      <c r="F112" s="90"/>
      <c r="G112" s="90"/>
      <c r="H112" s="90"/>
      <c r="I112" s="91"/>
      <c r="K112" s="87">
        <f>ROW(B113)</f>
        <v>113</v>
      </c>
      <c r="L112" s="87">
        <f>ROW(B123)</f>
        <v>123</v>
      </c>
    </row>
    <row r="113" spans="2:24" ht="16.5" hidden="1" customHeight="1">
      <c r="B113" s="82" t="s">
        <v>1874</v>
      </c>
      <c r="F113" s="3" t="s">
        <v>68</v>
      </c>
      <c r="G113" s="1213" t="str">
        <f>Gebaeude!$G$113</f>
        <v>Gebäude bis 3 Vollgeschosse</v>
      </c>
      <c r="H113" s="1202"/>
      <c r="I113" s="1203"/>
      <c r="J113" s="5"/>
      <c r="K113" s="87"/>
      <c r="L113" s="87"/>
      <c r="M113" s="130"/>
    </row>
    <row r="114" spans="2:24" ht="16.5" hidden="1" customHeight="1">
      <c r="B114" s="82"/>
      <c r="C114" s="1" t="s">
        <v>71</v>
      </c>
      <c r="H114" s="3" t="s">
        <v>59</v>
      </c>
      <c r="I114" s="95">
        <f ca="1">IF($G$113=C114,$F$7*0.76,"")</f>
        <v>507.65190660000002</v>
      </c>
      <c r="K114" s="87"/>
      <c r="L114" s="87"/>
      <c r="M114" s="131"/>
    </row>
    <row r="115" spans="2:24" ht="16.5" hidden="1" customHeight="1">
      <c r="B115" s="82"/>
      <c r="C115" s="1" t="s">
        <v>72</v>
      </c>
      <c r="H115" s="3" t="s">
        <v>60</v>
      </c>
      <c r="I115" s="95" t="str">
        <f>IF($G$113=C115,$F$7*0.8,"")</f>
        <v/>
      </c>
      <c r="K115" s="87"/>
      <c r="L115" s="87"/>
      <c r="M115" s="131"/>
    </row>
    <row r="116" spans="2:24" ht="16.5" hidden="1" customHeight="1">
      <c r="B116" s="82" t="s">
        <v>1875</v>
      </c>
      <c r="F116" s="3" t="s">
        <v>68</v>
      </c>
      <c r="G116" s="1213" t="s">
        <v>63</v>
      </c>
      <c r="H116" s="1202"/>
      <c r="I116" s="1203"/>
      <c r="K116" s="87"/>
      <c r="L116" s="87"/>
      <c r="M116" s="131"/>
      <c r="N116"/>
    </row>
    <row r="117" spans="2:24" ht="16.5" hidden="1" customHeight="1">
      <c r="B117" s="82"/>
      <c r="C117" s="1" t="s">
        <v>47</v>
      </c>
      <c r="H117" s="3" t="s">
        <v>73</v>
      </c>
      <c r="I117" s="95" t="str">
        <f>IF($G$116=C117,0.7,"")</f>
        <v/>
      </c>
      <c r="K117" s="87"/>
      <c r="L117" s="87"/>
      <c r="M117" s="131"/>
      <c r="N117"/>
    </row>
    <row r="118" spans="2:24" ht="16.5" hidden="1" customHeight="1">
      <c r="B118" s="82"/>
      <c r="C118" s="1" t="s">
        <v>61</v>
      </c>
      <c r="H118" s="3" t="s">
        <v>74</v>
      </c>
      <c r="I118" s="95" t="str">
        <f>IF($G$116=C118,0.6,"")</f>
        <v/>
      </c>
      <c r="K118" s="87"/>
      <c r="L118" s="87"/>
      <c r="M118" s="131"/>
      <c r="N118"/>
    </row>
    <row r="119" spans="2:24" ht="16.5" hidden="1" customHeight="1">
      <c r="B119" s="82"/>
      <c r="C119" s="1" t="s">
        <v>62</v>
      </c>
      <c r="H119" s="3" t="s">
        <v>74</v>
      </c>
      <c r="I119" s="95" t="str">
        <f>IF($G$116=C119,0.6,"")</f>
        <v/>
      </c>
      <c r="K119" s="87"/>
      <c r="L119" s="87"/>
      <c r="M119" s="131"/>
      <c r="N119"/>
    </row>
    <row r="120" spans="2:24" ht="16.5" hidden="1" customHeight="1">
      <c r="B120" s="82"/>
      <c r="C120" s="1" t="s">
        <v>63</v>
      </c>
      <c r="H120" s="3" t="s">
        <v>1877</v>
      </c>
      <c r="I120" s="95">
        <f>IF($G$116=C120,0.55,"")</f>
        <v>0.55000000000000004</v>
      </c>
      <c r="K120" s="87"/>
      <c r="L120" s="87"/>
      <c r="M120" s="131"/>
    </row>
    <row r="121" spans="2:24" ht="16.5" hidden="1" customHeight="1">
      <c r="B121" s="82"/>
      <c r="C121" s="1" t="s">
        <v>64</v>
      </c>
      <c r="H121" s="3" t="s">
        <v>1878</v>
      </c>
      <c r="I121" s="95" t="str">
        <f>IF($G$116=C121,0.5,"")</f>
        <v/>
      </c>
      <c r="K121" s="87"/>
      <c r="L121" s="87"/>
      <c r="M121" s="131"/>
    </row>
    <row r="122" spans="2:24" ht="16.5" hidden="1" customHeight="1">
      <c r="B122" s="93" t="s">
        <v>169</v>
      </c>
      <c r="H122" s="359" t="s">
        <v>1752</v>
      </c>
      <c r="I122" s="114">
        <f ca="1">0.34*VLOOKUP(G113,C114:I115,7,FALSE)*VLOOKUP(G116,C117:I121,7,FALSE)</f>
        <v>94.93090653420002</v>
      </c>
      <c r="K122" s="87"/>
      <c r="L122" s="87"/>
      <c r="M122" s="131"/>
    </row>
    <row r="123" spans="2:24" ht="6.75" hidden="1" customHeight="1">
      <c r="B123" s="93"/>
      <c r="H123" s="359"/>
      <c r="I123" s="114"/>
      <c r="K123" s="87"/>
      <c r="L123" s="87"/>
      <c r="M123" s="131"/>
    </row>
    <row r="124" spans="2:24" ht="16.5" customHeight="1">
      <c r="B124" s="106" t="s">
        <v>174</v>
      </c>
      <c r="C124" s="90"/>
      <c r="D124" s="90"/>
      <c r="E124" s="90"/>
      <c r="F124" s="90"/>
      <c r="G124" s="90"/>
      <c r="H124" s="90"/>
      <c r="I124" s="91"/>
      <c r="K124" s="87">
        <f>ROW(B125)</f>
        <v>125</v>
      </c>
      <c r="L124" s="87">
        <f>ROW(B126)</f>
        <v>126</v>
      </c>
      <c r="M124" s="8" t="s">
        <v>843</v>
      </c>
    </row>
    <row r="125" spans="2:24" ht="16.5" hidden="1" customHeight="1">
      <c r="B125" s="93" t="s">
        <v>48</v>
      </c>
      <c r="H125" s="3" t="s">
        <v>1753</v>
      </c>
      <c r="I125" s="114">
        <f ca="1">SUM(M125:X125)</f>
        <v>7862.5574027885832</v>
      </c>
      <c r="K125" s="87"/>
      <c r="L125" s="87"/>
      <c r="M125" s="9">
        <f t="shared" ref="M125:X125" ca="1" si="8">IF($I$122&gt;0,0.024*$I$122*(19-M$306)*M$307,0)</f>
        <v>1271.3147003060067</v>
      </c>
      <c r="N125" s="9">
        <f t="shared" ca="1" si="8"/>
        <v>1090.8700331657994</v>
      </c>
      <c r="O125" s="9">
        <f t="shared" ca="1" si="8"/>
        <v>1009.9889007986609</v>
      </c>
      <c r="P125" s="9">
        <f t="shared" ca="1" si="8"/>
        <v>669.8324765053153</v>
      </c>
      <c r="Q125" s="9">
        <f t="shared" ca="1" si="8"/>
        <v>346.08011286107961</v>
      </c>
      <c r="R125" s="9">
        <f t="shared" ca="1" si="8"/>
        <v>157.20558122063528</v>
      </c>
      <c r="S125" s="9">
        <f t="shared" ca="1" si="8"/>
        <v>0</v>
      </c>
      <c r="T125" s="9">
        <f t="shared" ca="1" si="8"/>
        <v>28.251437784577824</v>
      </c>
      <c r="U125" s="9">
        <f t="shared" ca="1" si="8"/>
        <v>321.24618771173283</v>
      </c>
      <c r="V125" s="9">
        <f t="shared" ca="1" si="8"/>
        <v>670.97164738372578</v>
      </c>
      <c r="W125" s="9">
        <f t="shared" ca="1" si="8"/>
        <v>1018.4187652988978</v>
      </c>
      <c r="X125" s="9">
        <f t="shared" ca="1" si="8"/>
        <v>1278.3775597521512</v>
      </c>
    </row>
    <row r="126" spans="2:24" ht="6.75" hidden="1" customHeight="1">
      <c r="B126" s="93"/>
      <c r="H126" s="3"/>
      <c r="I126" s="114"/>
      <c r="K126" s="87"/>
      <c r="L126" s="87"/>
      <c r="M126" s="9"/>
      <c r="N126" s="9"/>
      <c r="O126" s="9"/>
      <c r="P126" s="9"/>
      <c r="Q126" s="9"/>
      <c r="R126" s="9"/>
      <c r="S126" s="9"/>
      <c r="T126" s="9"/>
      <c r="U126" s="9"/>
      <c r="V126" s="9"/>
      <c r="W126" s="9"/>
      <c r="X126" s="9"/>
    </row>
    <row r="127" spans="2:24" ht="16.5" customHeight="1">
      <c r="B127" s="79" t="s">
        <v>56</v>
      </c>
      <c r="C127" s="80"/>
      <c r="D127" s="80"/>
      <c r="E127" s="80"/>
      <c r="F127" s="80"/>
      <c r="G127" s="80"/>
      <c r="H127" s="80"/>
      <c r="I127" s="81"/>
      <c r="K127" s="87"/>
      <c r="L127" s="87"/>
    </row>
    <row r="128" spans="2:24" ht="16.5" customHeight="1">
      <c r="B128" s="103" t="s">
        <v>149</v>
      </c>
      <c r="C128" s="104"/>
      <c r="D128" s="104"/>
      <c r="E128" s="104"/>
      <c r="F128" s="104"/>
      <c r="G128" s="104"/>
      <c r="H128" s="104"/>
      <c r="I128" s="105"/>
      <c r="K128" s="87">
        <f>ROW(B129)</f>
        <v>129</v>
      </c>
      <c r="L128" s="87">
        <f>ROW(B145)</f>
        <v>145</v>
      </c>
    </row>
    <row r="129" spans="2:24" ht="52.8" hidden="1">
      <c r="B129" s="344" t="s">
        <v>9</v>
      </c>
      <c r="C129" s="309" t="s">
        <v>77</v>
      </c>
      <c r="D129" s="309" t="s">
        <v>10</v>
      </c>
      <c r="E129" s="618" t="s">
        <v>0</v>
      </c>
      <c r="F129" s="309" t="s">
        <v>78</v>
      </c>
      <c r="G129" s="618" t="s">
        <v>50</v>
      </c>
      <c r="H129" s="618" t="s">
        <v>52</v>
      </c>
      <c r="I129" s="345" t="s">
        <v>54</v>
      </c>
      <c r="K129" s="87"/>
      <c r="L129" s="87"/>
    </row>
    <row r="130" spans="2:24" ht="16.5" hidden="1" customHeight="1">
      <c r="B130" s="344"/>
      <c r="C130" s="309"/>
      <c r="D130" s="309" t="s">
        <v>115</v>
      </c>
      <c r="E130" s="618" t="s">
        <v>8</v>
      </c>
      <c r="F130" s="618" t="s">
        <v>49</v>
      </c>
      <c r="G130" s="618" t="s">
        <v>51</v>
      </c>
      <c r="H130" s="618" t="s">
        <v>53</v>
      </c>
      <c r="I130" s="345" t="s">
        <v>55</v>
      </c>
      <c r="K130" s="87"/>
      <c r="L130" s="87"/>
      <c r="M130" s="6" t="s">
        <v>116</v>
      </c>
      <c r="N130" s="6" t="s">
        <v>117</v>
      </c>
      <c r="O130" s="6" t="s">
        <v>118</v>
      </c>
      <c r="P130" s="6" t="s">
        <v>119</v>
      </c>
      <c r="Q130" s="6" t="s">
        <v>120</v>
      </c>
      <c r="R130" s="6" t="s">
        <v>121</v>
      </c>
      <c r="S130" s="6" t="s">
        <v>122</v>
      </c>
      <c r="T130" s="6" t="s">
        <v>123</v>
      </c>
      <c r="U130" s="6" t="s">
        <v>124</v>
      </c>
      <c r="V130" s="6" t="s">
        <v>125</v>
      </c>
      <c r="W130" s="6" t="s">
        <v>126</v>
      </c>
      <c r="X130" s="6" t="s">
        <v>127</v>
      </c>
    </row>
    <row r="131" spans="2:24" ht="16.5" hidden="1" customHeight="1" thickBot="1">
      <c r="B131" s="82" t="str">
        <f t="shared" ref="B131:B136" si="9">B32</f>
        <v>W 1</v>
      </c>
      <c r="C131" s="1" t="str">
        <f t="shared" ref="C131:C136" si="10">IF(C32&lt;&gt;"",C32,"")</f>
        <v>Nord</v>
      </c>
      <c r="D131" s="1" t="str">
        <f t="shared" ref="D131:E136" si="11">IF(E32&lt;&gt;"",E32,"")</f>
        <v>90°</v>
      </c>
      <c r="E131" s="143">
        <f t="shared" ca="1" si="11"/>
        <v>5.5</v>
      </c>
      <c r="F131" s="594">
        <v>0.6</v>
      </c>
      <c r="G131" s="600">
        <f>Gebaeude!$G$131</f>
        <v>0.9</v>
      </c>
      <c r="H131" s="597">
        <f>Gebaeude!$H$131</f>
        <v>0.7</v>
      </c>
      <c r="I131" s="110" t="s">
        <v>79</v>
      </c>
      <c r="K131" s="87"/>
      <c r="L131" s="87"/>
      <c r="M131" s="9">
        <f t="shared" ref="M131:X142" ca="1" si="12">IF(AND($C131&lt;&gt;"",$E131&gt;0),0.024*$E131*$F131*$G131*$H131*1*0.9*VLOOKUP($C131&amp;" - "&amp;$D131,$G$273:$X$305,MONTH((DATEVALUE("1. "&amp;M$4)))+6,FALSE)*M$307,"")</f>
        <v>13.920984000000002</v>
      </c>
      <c r="N131" s="9">
        <f t="shared" ca="1" si="12"/>
        <v>22.632825600000004</v>
      </c>
      <c r="O131" s="9">
        <f t="shared" ca="1" si="12"/>
        <v>43.155050400000007</v>
      </c>
      <c r="P131" s="9">
        <f t="shared" ca="1" si="12"/>
        <v>78.137136000000012</v>
      </c>
      <c r="Q131" s="9">
        <f t="shared" ca="1" si="12"/>
        <v>104.40738000000002</v>
      </c>
      <c r="R131" s="9">
        <f t="shared" ca="1" si="12"/>
        <v>111.81693600000001</v>
      </c>
      <c r="S131" s="9">
        <f t="shared" ca="1" si="12"/>
        <v>112.75997040000001</v>
      </c>
      <c r="T131" s="9">
        <f t="shared" ca="1" si="12"/>
        <v>79.349608799999999</v>
      </c>
      <c r="U131" s="9">
        <f t="shared" ca="1" si="12"/>
        <v>55.234872000000003</v>
      </c>
      <c r="V131" s="9">
        <f t="shared" ca="1" si="12"/>
        <v>34.802460000000004</v>
      </c>
      <c r="W131" s="9">
        <f t="shared" ca="1" si="12"/>
        <v>17.513496000000004</v>
      </c>
      <c r="X131" s="9">
        <f t="shared" ca="1" si="12"/>
        <v>9.7446888000000005</v>
      </c>
    </row>
    <row r="132" spans="2:24" ht="16.5" hidden="1" customHeight="1" thickBot="1">
      <c r="B132" s="82" t="str">
        <f t="shared" si="9"/>
        <v>W 2</v>
      </c>
      <c r="C132" s="1" t="str">
        <f t="shared" si="10"/>
        <v>West</v>
      </c>
      <c r="D132" s="1" t="str">
        <f t="shared" si="11"/>
        <v>90°</v>
      </c>
      <c r="E132" s="143">
        <f t="shared" ca="1" si="11"/>
        <v>8</v>
      </c>
      <c r="F132" s="599">
        <v>0.6</v>
      </c>
      <c r="G132" s="600">
        <f>Gebaeude!$G$132</f>
        <v>0.9</v>
      </c>
      <c r="H132" s="597">
        <f>Gebaeude!$H$132</f>
        <v>0.7</v>
      </c>
      <c r="I132" s="110" t="s">
        <v>79</v>
      </c>
      <c r="K132" s="87"/>
      <c r="L132" s="87"/>
      <c r="M132" s="9">
        <f t="shared" ca="1" si="12"/>
        <v>34.422796799999993</v>
      </c>
      <c r="N132" s="9">
        <f t="shared" ca="1" si="12"/>
        <v>43.893964799999985</v>
      </c>
      <c r="O132" s="9">
        <f t="shared" ca="1" si="12"/>
        <v>121.49222399999996</v>
      </c>
      <c r="P132" s="9">
        <f t="shared" ca="1" si="12"/>
        <v>223.38892799999996</v>
      </c>
      <c r="Q132" s="9">
        <f t="shared" ca="1" si="12"/>
        <v>257.15854079999991</v>
      </c>
      <c r="R132" s="9">
        <f t="shared" ca="1" si="12"/>
        <v>266.49907199999996</v>
      </c>
      <c r="S132" s="9">
        <f t="shared" ca="1" si="12"/>
        <v>236.90983679999994</v>
      </c>
      <c r="T132" s="9">
        <f t="shared" ca="1" si="12"/>
        <v>212.61139199999997</v>
      </c>
      <c r="U132" s="9">
        <f t="shared" ca="1" si="12"/>
        <v>154.80460799999997</v>
      </c>
      <c r="V132" s="9">
        <f t="shared" ca="1" si="12"/>
        <v>95.168908799999983</v>
      </c>
      <c r="W132" s="9">
        <f t="shared" ca="1" si="12"/>
        <v>37.231487999999992</v>
      </c>
      <c r="X132" s="9">
        <f t="shared" ca="1" si="12"/>
        <v>22.273574399999998</v>
      </c>
    </row>
    <row r="133" spans="2:24" ht="16.5" hidden="1" customHeight="1" thickBot="1">
      <c r="B133" s="82" t="str">
        <f t="shared" si="9"/>
        <v>W 3</v>
      </c>
      <c r="C133" s="1" t="str">
        <f t="shared" si="10"/>
        <v>Süd</v>
      </c>
      <c r="D133" s="1" t="str">
        <f t="shared" si="11"/>
        <v>90°</v>
      </c>
      <c r="E133" s="143">
        <f t="shared" ca="1" si="11"/>
        <v>11.66</v>
      </c>
      <c r="F133" s="599">
        <v>0.6</v>
      </c>
      <c r="G133" s="600">
        <f>Gebaeude!$G$133</f>
        <v>0.9</v>
      </c>
      <c r="H133" s="597">
        <f>Gebaeude!$H$133</f>
        <v>0.7</v>
      </c>
      <c r="I133" s="110" t="s">
        <v>79</v>
      </c>
      <c r="K133" s="87"/>
      <c r="L133" s="87"/>
      <c r="M133" s="9">
        <f t="shared" ca="1" si="12"/>
        <v>174.123667872</v>
      </c>
      <c r="N133" s="9">
        <f t="shared" ca="1" si="12"/>
        <v>125.28526348800001</v>
      </c>
      <c r="O133" s="9">
        <f t="shared" ca="1" si="12"/>
        <v>289.22236358399999</v>
      </c>
      <c r="P133" s="9">
        <f t="shared" ca="1" si="12"/>
        <v>419.83891487999995</v>
      </c>
      <c r="Q133" s="9">
        <f t="shared" ca="1" si="12"/>
        <v>389.56481625599997</v>
      </c>
      <c r="R133" s="9">
        <f t="shared" ca="1" si="12"/>
        <v>354.14983296000003</v>
      </c>
      <c r="S133" s="9">
        <f t="shared" ca="1" si="12"/>
        <v>333.49109270399998</v>
      </c>
      <c r="T133" s="9">
        <f t="shared" ca="1" si="12"/>
        <v>374.80857321600001</v>
      </c>
      <c r="U133" s="9">
        <f t="shared" ca="1" si="12"/>
        <v>351.29378592</v>
      </c>
      <c r="V133" s="9">
        <f t="shared" ca="1" si="12"/>
        <v>312.83235244799999</v>
      </c>
      <c r="W133" s="9">
        <f t="shared" ca="1" si="12"/>
        <v>111.38583455999999</v>
      </c>
      <c r="X133" s="9">
        <f t="shared" ca="1" si="12"/>
        <v>85.586209632000006</v>
      </c>
    </row>
    <row r="134" spans="2:24" ht="16.5" hidden="1" customHeight="1" thickBot="1">
      <c r="B134" s="82" t="str">
        <f t="shared" si="9"/>
        <v>W 4</v>
      </c>
      <c r="C134" s="1" t="str">
        <f t="shared" si="10"/>
        <v>Ost</v>
      </c>
      <c r="D134" s="1" t="str">
        <f t="shared" si="11"/>
        <v>90°</v>
      </c>
      <c r="E134" s="143">
        <f t="shared" ca="1" si="11"/>
        <v>7.79</v>
      </c>
      <c r="F134" s="599">
        <v>0.6</v>
      </c>
      <c r="G134" s="600">
        <f>Gebaeude!$G$134</f>
        <v>0.9</v>
      </c>
      <c r="H134" s="597">
        <f>Gebaeude!$H$134</f>
        <v>0.7</v>
      </c>
      <c r="I134" s="110" t="s">
        <v>79</v>
      </c>
      <c r="K134" s="87"/>
      <c r="L134" s="87"/>
      <c r="M134" s="9">
        <f t="shared" ca="1" si="12"/>
        <v>49.292938800000002</v>
      </c>
      <c r="N134" s="9">
        <f t="shared" ca="1" si="12"/>
        <v>51.646279104000001</v>
      </c>
      <c r="O134" s="9">
        <f t="shared" ca="1" si="12"/>
        <v>134.07679353600003</v>
      </c>
      <c r="P134" s="9">
        <f t="shared" ca="1" si="12"/>
        <v>255.68724384000004</v>
      </c>
      <c r="Q134" s="9">
        <f t="shared" ca="1" si="12"/>
        <v>270.12530462400002</v>
      </c>
      <c r="R134" s="9">
        <f t="shared" ca="1" si="12"/>
        <v>286.21706400000005</v>
      </c>
      <c r="S134" s="9">
        <f t="shared" ca="1" si="12"/>
        <v>272.097022176</v>
      </c>
      <c r="T134" s="9">
        <f t="shared" ca="1" si="12"/>
        <v>226.74751848000002</v>
      </c>
      <c r="U134" s="9">
        <f t="shared" ca="1" si="12"/>
        <v>158.37344208000002</v>
      </c>
      <c r="V134" s="9">
        <f t="shared" ca="1" si="12"/>
        <v>108.44446536000001</v>
      </c>
      <c r="W134" s="9">
        <f t="shared" ca="1" si="12"/>
        <v>38.162275200000003</v>
      </c>
      <c r="X134" s="9">
        <f t="shared" ca="1" si="12"/>
        <v>23.660610624000004</v>
      </c>
    </row>
    <row r="135" spans="2:24" ht="16.5" hidden="1" customHeight="1" thickBot="1">
      <c r="B135" s="82" t="str">
        <f t="shared" si="9"/>
        <v>W 5</v>
      </c>
      <c r="C135" s="1" t="str">
        <f t="shared" si="10"/>
        <v/>
      </c>
      <c r="D135" s="1" t="str">
        <f t="shared" si="11"/>
        <v>90°</v>
      </c>
      <c r="E135" s="143">
        <f t="shared" ca="1" si="11"/>
        <v>0</v>
      </c>
      <c r="F135" s="599">
        <v>0.6</v>
      </c>
      <c r="G135" s="600">
        <f>Gebaeude!$G$135</f>
        <v>0</v>
      </c>
      <c r="H135" s="597">
        <f>Gebaeude!$H$135</f>
        <v>0</v>
      </c>
      <c r="I135" s="110" t="s">
        <v>79</v>
      </c>
      <c r="J135" s="5"/>
      <c r="K135" s="87"/>
      <c r="L135" s="87"/>
      <c r="M135" s="9" t="str">
        <f t="shared" ca="1" si="12"/>
        <v/>
      </c>
      <c r="N135" s="9" t="str">
        <f t="shared" ca="1" si="12"/>
        <v/>
      </c>
      <c r="O135" s="9" t="str">
        <f t="shared" ca="1" si="12"/>
        <v/>
      </c>
      <c r="P135" s="9" t="str">
        <f t="shared" ca="1" si="12"/>
        <v/>
      </c>
      <c r="Q135" s="9" t="str">
        <f t="shared" ca="1" si="12"/>
        <v/>
      </c>
      <c r="R135" s="9" t="str">
        <f t="shared" ca="1" si="12"/>
        <v/>
      </c>
      <c r="S135" s="9" t="str">
        <f t="shared" ca="1" si="12"/>
        <v/>
      </c>
      <c r="T135" s="9" t="str">
        <f t="shared" ca="1" si="12"/>
        <v/>
      </c>
      <c r="U135" s="9" t="str">
        <f t="shared" ca="1" si="12"/>
        <v/>
      </c>
      <c r="V135" s="9" t="str">
        <f t="shared" ca="1" si="12"/>
        <v/>
      </c>
      <c r="W135" s="9" t="str">
        <f t="shared" ca="1" si="12"/>
        <v/>
      </c>
      <c r="X135" s="9" t="str">
        <f t="shared" ca="1" si="12"/>
        <v/>
      </c>
    </row>
    <row r="136" spans="2:24" ht="16.5" hidden="1" customHeight="1" thickBot="1">
      <c r="B136" s="82" t="str">
        <f t="shared" si="9"/>
        <v>W 6</v>
      </c>
      <c r="C136" s="1" t="str">
        <f t="shared" si="10"/>
        <v/>
      </c>
      <c r="D136" s="1" t="str">
        <f t="shared" si="11"/>
        <v>90°</v>
      </c>
      <c r="E136" s="143">
        <f t="shared" ca="1" si="11"/>
        <v>0</v>
      </c>
      <c r="F136" s="599">
        <v>0.6</v>
      </c>
      <c r="G136" s="600">
        <f>Gebaeude!$G$136</f>
        <v>0</v>
      </c>
      <c r="H136" s="597">
        <f>Gebaeude!$H$136</f>
        <v>0</v>
      </c>
      <c r="I136" s="110" t="s">
        <v>79</v>
      </c>
      <c r="K136" s="87"/>
      <c r="L136" s="87"/>
      <c r="M136" s="9" t="str">
        <f t="shared" ca="1" si="12"/>
        <v/>
      </c>
      <c r="N136" s="9" t="str">
        <f t="shared" ca="1" si="12"/>
        <v/>
      </c>
      <c r="O136" s="9" t="str">
        <f t="shared" ca="1" si="12"/>
        <v/>
      </c>
      <c r="P136" s="9" t="str">
        <f t="shared" ca="1" si="12"/>
        <v/>
      </c>
      <c r="Q136" s="9" t="str">
        <f t="shared" ca="1" si="12"/>
        <v/>
      </c>
      <c r="R136" s="9" t="str">
        <f t="shared" ca="1" si="12"/>
        <v/>
      </c>
      <c r="S136" s="9" t="str">
        <f t="shared" ca="1" si="12"/>
        <v/>
      </c>
      <c r="T136" s="9" t="str">
        <f t="shared" ca="1" si="12"/>
        <v/>
      </c>
      <c r="U136" s="9" t="str">
        <f t="shared" ca="1" si="12"/>
        <v/>
      </c>
      <c r="V136" s="9" t="str">
        <f t="shared" ca="1" si="12"/>
        <v/>
      </c>
      <c r="W136" s="9" t="str">
        <f t="shared" ca="1" si="12"/>
        <v/>
      </c>
      <c r="X136" s="9" t="str">
        <f t="shared" ca="1" si="12"/>
        <v/>
      </c>
    </row>
    <row r="137" spans="2:24" ht="16.5" hidden="1" customHeight="1" thickBot="1">
      <c r="B137" s="82" t="str">
        <f>B55</f>
        <v>W 7</v>
      </c>
      <c r="C137" s="1" t="str">
        <f>IF(C55&lt;&gt;"",C55,"")</f>
        <v/>
      </c>
      <c r="D137" s="1" t="str">
        <f t="shared" ref="D137:E140" si="13">IF(E55&lt;&gt;"",E55,"")</f>
        <v/>
      </c>
      <c r="E137" s="143">
        <f t="shared" ca="1" si="13"/>
        <v>0</v>
      </c>
      <c r="F137" s="599">
        <v>0.6</v>
      </c>
      <c r="G137" s="600">
        <f>Gebaeude!$G$137</f>
        <v>0</v>
      </c>
      <c r="H137" s="597">
        <f>Gebaeude!$H$137</f>
        <v>0</v>
      </c>
      <c r="I137" s="110" t="s">
        <v>79</v>
      </c>
      <c r="K137" s="87"/>
      <c r="L137" s="87"/>
      <c r="M137" s="9" t="str">
        <f t="shared" ca="1" si="12"/>
        <v/>
      </c>
      <c r="N137" s="9" t="str">
        <f t="shared" ca="1" si="12"/>
        <v/>
      </c>
      <c r="O137" s="9" t="str">
        <f t="shared" ca="1" si="12"/>
        <v/>
      </c>
      <c r="P137" s="9" t="str">
        <f t="shared" ca="1" si="12"/>
        <v/>
      </c>
      <c r="Q137" s="9" t="str">
        <f t="shared" ca="1" si="12"/>
        <v/>
      </c>
      <c r="R137" s="9" t="str">
        <f t="shared" ca="1" si="12"/>
        <v/>
      </c>
      <c r="S137" s="9" t="str">
        <f t="shared" ca="1" si="12"/>
        <v/>
      </c>
      <c r="T137" s="9" t="str">
        <f t="shared" ca="1" si="12"/>
        <v/>
      </c>
      <c r="U137" s="9" t="str">
        <f t="shared" ca="1" si="12"/>
        <v/>
      </c>
      <c r="V137" s="9" t="str">
        <f t="shared" ca="1" si="12"/>
        <v/>
      </c>
      <c r="W137" s="9" t="str">
        <f t="shared" ca="1" si="12"/>
        <v/>
      </c>
      <c r="X137" s="9" t="str">
        <f t="shared" ca="1" si="12"/>
        <v/>
      </c>
    </row>
    <row r="138" spans="2:24" ht="16.5" hidden="1" customHeight="1" thickBot="1">
      <c r="B138" s="82" t="str">
        <f>B56</f>
        <v>W 8</v>
      </c>
      <c r="C138" s="1" t="str">
        <f>IF(C56&lt;&gt;"",C56,"")</f>
        <v/>
      </c>
      <c r="D138" s="1" t="str">
        <f t="shared" si="13"/>
        <v/>
      </c>
      <c r="E138" s="143">
        <f t="shared" ca="1" si="13"/>
        <v>0</v>
      </c>
      <c r="F138" s="599">
        <v>0.6</v>
      </c>
      <c r="G138" s="600">
        <f>Gebaeude!$G$138</f>
        <v>0</v>
      </c>
      <c r="H138" s="597">
        <f>Gebaeude!$H$138</f>
        <v>0</v>
      </c>
      <c r="I138" s="110" t="s">
        <v>79</v>
      </c>
      <c r="K138" s="87"/>
      <c r="L138" s="87"/>
      <c r="M138" s="9" t="str">
        <f t="shared" ca="1" si="12"/>
        <v/>
      </c>
      <c r="N138" s="9" t="str">
        <f t="shared" ca="1" si="12"/>
        <v/>
      </c>
      <c r="O138" s="9" t="str">
        <f t="shared" ca="1" si="12"/>
        <v/>
      </c>
      <c r="P138" s="9" t="str">
        <f t="shared" ca="1" si="12"/>
        <v/>
      </c>
      <c r="Q138" s="9" t="str">
        <f t="shared" ca="1" si="12"/>
        <v/>
      </c>
      <c r="R138" s="9" t="str">
        <f t="shared" ca="1" si="12"/>
        <v/>
      </c>
      <c r="S138" s="9" t="str">
        <f t="shared" ca="1" si="12"/>
        <v/>
      </c>
      <c r="T138" s="9" t="str">
        <f t="shared" ca="1" si="12"/>
        <v/>
      </c>
      <c r="U138" s="9" t="str">
        <f t="shared" ca="1" si="12"/>
        <v/>
      </c>
      <c r="V138" s="9" t="str">
        <f t="shared" ca="1" si="12"/>
        <v/>
      </c>
      <c r="W138" s="9" t="str">
        <f t="shared" ca="1" si="12"/>
        <v/>
      </c>
      <c r="X138" s="9" t="str">
        <f t="shared" ca="1" si="12"/>
        <v/>
      </c>
    </row>
    <row r="139" spans="2:24" ht="16.5" hidden="1" customHeight="1" thickBot="1">
      <c r="B139" s="82" t="str">
        <f>B57</f>
        <v>W 9</v>
      </c>
      <c r="C139" s="1" t="str">
        <f>IF(C57&lt;&gt;"",C57,"")</f>
        <v/>
      </c>
      <c r="D139" s="1" t="str">
        <f t="shared" si="13"/>
        <v/>
      </c>
      <c r="E139" s="143">
        <f t="shared" ca="1" si="13"/>
        <v>0</v>
      </c>
      <c r="F139" s="599">
        <v>0.6</v>
      </c>
      <c r="G139" s="600">
        <f>Gebaeude!$G$139</f>
        <v>0</v>
      </c>
      <c r="H139" s="597">
        <f>Gebaeude!$H$139</f>
        <v>0</v>
      </c>
      <c r="I139" s="110" t="s">
        <v>79</v>
      </c>
      <c r="K139" s="87"/>
      <c r="L139" s="87"/>
      <c r="M139" s="9" t="str">
        <f t="shared" ca="1" si="12"/>
        <v/>
      </c>
      <c r="N139" s="9" t="str">
        <f t="shared" ca="1" si="12"/>
        <v/>
      </c>
      <c r="O139" s="9" t="str">
        <f t="shared" ca="1" si="12"/>
        <v/>
      </c>
      <c r="P139" s="9" t="str">
        <f t="shared" ca="1" si="12"/>
        <v/>
      </c>
      <c r="Q139" s="9" t="str">
        <f t="shared" ca="1" si="12"/>
        <v/>
      </c>
      <c r="R139" s="9" t="str">
        <f t="shared" ca="1" si="12"/>
        <v/>
      </c>
      <c r="S139" s="9" t="str">
        <f t="shared" ca="1" si="12"/>
        <v/>
      </c>
      <c r="T139" s="9" t="str">
        <f t="shared" ca="1" si="12"/>
        <v/>
      </c>
      <c r="U139" s="9" t="str">
        <f t="shared" ca="1" si="12"/>
        <v/>
      </c>
      <c r="V139" s="9" t="str">
        <f t="shared" ca="1" si="12"/>
        <v/>
      </c>
      <c r="W139" s="9" t="str">
        <f t="shared" ca="1" si="12"/>
        <v/>
      </c>
      <c r="X139" s="9" t="str">
        <f t="shared" ca="1" si="12"/>
        <v/>
      </c>
    </row>
    <row r="140" spans="2:24" ht="16.5" hidden="1" customHeight="1" thickBot="1">
      <c r="B140" s="82" t="str">
        <f>B58</f>
        <v>W 10</v>
      </c>
      <c r="C140" s="1" t="str">
        <f>IF(C58&lt;&gt;"",C58,"")</f>
        <v/>
      </c>
      <c r="D140" s="1" t="str">
        <f t="shared" si="13"/>
        <v/>
      </c>
      <c r="E140" s="143">
        <f t="shared" ca="1" si="13"/>
        <v>0</v>
      </c>
      <c r="F140" s="599">
        <v>0.6</v>
      </c>
      <c r="G140" s="600">
        <f>Gebaeude!$G$140</f>
        <v>0</v>
      </c>
      <c r="H140" s="597">
        <f>Gebaeude!$H$140</f>
        <v>0</v>
      </c>
      <c r="I140" s="110" t="s">
        <v>79</v>
      </c>
      <c r="K140" s="87"/>
      <c r="L140" s="87"/>
      <c r="M140" s="9" t="str">
        <f t="shared" ca="1" si="12"/>
        <v/>
      </c>
      <c r="N140" s="9" t="str">
        <f t="shared" ca="1" si="12"/>
        <v/>
      </c>
      <c r="O140" s="9" t="str">
        <f t="shared" ca="1" si="12"/>
        <v/>
      </c>
      <c r="P140" s="9" t="str">
        <f t="shared" ca="1" si="12"/>
        <v/>
      </c>
      <c r="Q140" s="9" t="str">
        <f t="shared" ca="1" si="12"/>
        <v/>
      </c>
      <c r="R140" s="9" t="str">
        <f t="shared" ca="1" si="12"/>
        <v/>
      </c>
      <c r="S140" s="9" t="str">
        <f t="shared" ca="1" si="12"/>
        <v/>
      </c>
      <c r="T140" s="9" t="str">
        <f t="shared" ca="1" si="12"/>
        <v/>
      </c>
      <c r="U140" s="9" t="str">
        <f t="shared" ca="1" si="12"/>
        <v/>
      </c>
      <c r="V140" s="9" t="str">
        <f t="shared" ca="1" si="12"/>
        <v/>
      </c>
      <c r="W140" s="9" t="str">
        <f t="shared" ca="1" si="12"/>
        <v/>
      </c>
      <c r="X140" s="9" t="str">
        <f t="shared" ca="1" si="12"/>
        <v/>
      </c>
    </row>
    <row r="141" spans="2:24" ht="16.5" hidden="1" customHeight="1" thickBot="1">
      <c r="B141" s="82" t="str">
        <f>B90</f>
        <v>W 11</v>
      </c>
      <c r="C141" s="1" t="s">
        <v>12</v>
      </c>
      <c r="D141" s="1" t="s">
        <v>18</v>
      </c>
      <c r="E141" s="143">
        <f ca="1">IF(F90&lt;&gt;"",F90,"")</f>
        <v>2.5</v>
      </c>
      <c r="F141" s="599">
        <v>0.6</v>
      </c>
      <c r="G141" s="600">
        <f>Gebaeude!$G$141</f>
        <v>0.9</v>
      </c>
      <c r="H141" s="597">
        <f>Gebaeude!$H$141</f>
        <v>0.7</v>
      </c>
      <c r="I141" s="110" t="s">
        <v>79</v>
      </c>
      <c r="K141" s="87"/>
      <c r="L141" s="87"/>
      <c r="M141" s="9">
        <f t="shared" ca="1" si="12"/>
        <v>6.3277200000000002</v>
      </c>
      <c r="N141" s="9">
        <f t="shared" ca="1" si="12"/>
        <v>10.287647999999999</v>
      </c>
      <c r="O141" s="9">
        <f t="shared" ca="1" si="12"/>
        <v>19.615932000000001</v>
      </c>
      <c r="P141" s="9">
        <f t="shared" ca="1" si="12"/>
        <v>35.51688</v>
      </c>
      <c r="Q141" s="9">
        <f t="shared" ca="1" si="12"/>
        <v>47.457899999999995</v>
      </c>
      <c r="R141" s="9">
        <f t="shared" ca="1" si="12"/>
        <v>50.825879999999998</v>
      </c>
      <c r="S141" s="9">
        <f t="shared" ca="1" si="12"/>
        <v>51.254532000000005</v>
      </c>
      <c r="T141" s="9">
        <f t="shared" ca="1" si="12"/>
        <v>36.068004000000002</v>
      </c>
      <c r="U141" s="9">
        <f t="shared" ca="1" si="12"/>
        <v>25.106759999999998</v>
      </c>
      <c r="V141" s="9">
        <f t="shared" ca="1" si="12"/>
        <v>15.819299999999998</v>
      </c>
      <c r="W141" s="9">
        <f t="shared" ca="1" si="12"/>
        <v>7.9606799999999991</v>
      </c>
      <c r="X141" s="9">
        <f t="shared" ca="1" si="12"/>
        <v>4.4294039999999999</v>
      </c>
    </row>
    <row r="142" spans="2:24" ht="16.5" hidden="1" customHeight="1" thickBot="1">
      <c r="B142" s="82" t="str">
        <f>B91</f>
        <v>W 12</v>
      </c>
      <c r="C142" s="1" t="s">
        <v>12</v>
      </c>
      <c r="D142" s="1" t="s">
        <v>18</v>
      </c>
      <c r="E142" s="143">
        <f ca="1">IF(F91&lt;&gt;"",F91,"")</f>
        <v>0</v>
      </c>
      <c r="F142" s="599">
        <v>0.6</v>
      </c>
      <c r="G142" s="600">
        <f>Gebaeude!$G$142</f>
        <v>0</v>
      </c>
      <c r="H142" s="597">
        <f>Gebaeude!$H$142</f>
        <v>0</v>
      </c>
      <c r="I142" s="110" t="s">
        <v>79</v>
      </c>
      <c r="K142" s="87"/>
      <c r="L142" s="87"/>
      <c r="M142" s="9" t="str">
        <f t="shared" ca="1" si="12"/>
        <v/>
      </c>
      <c r="N142" s="9" t="str">
        <f t="shared" ca="1" si="12"/>
        <v/>
      </c>
      <c r="O142" s="9" t="str">
        <f t="shared" ca="1" si="12"/>
        <v/>
      </c>
      <c r="P142" s="9" t="str">
        <f t="shared" ca="1" si="12"/>
        <v/>
      </c>
      <c r="Q142" s="9" t="str">
        <f t="shared" ca="1" si="12"/>
        <v/>
      </c>
      <c r="R142" s="9" t="str">
        <f t="shared" ca="1" si="12"/>
        <v/>
      </c>
      <c r="S142" s="9" t="str">
        <f t="shared" ca="1" si="12"/>
        <v/>
      </c>
      <c r="T142" s="9" t="str">
        <f t="shared" ca="1" si="12"/>
        <v/>
      </c>
      <c r="U142" s="9" t="str">
        <f t="shared" ca="1" si="12"/>
        <v/>
      </c>
      <c r="V142" s="9" t="str">
        <f t="shared" ca="1" si="12"/>
        <v/>
      </c>
      <c r="W142" s="9" t="str">
        <f t="shared" ca="1" si="12"/>
        <v/>
      </c>
      <c r="X142" s="9" t="str">
        <f t="shared" ca="1" si="12"/>
        <v/>
      </c>
    </row>
    <row r="143" spans="2:24" ht="16.5" hidden="1" customHeight="1">
      <c r="B143" s="82" t="s">
        <v>80</v>
      </c>
      <c r="E143" s="96"/>
      <c r="F143" s="96"/>
      <c r="G143" s="96"/>
      <c r="H143" s="111" t="s">
        <v>81</v>
      </c>
      <c r="I143" s="110" t="s">
        <v>79</v>
      </c>
      <c r="K143" s="87"/>
      <c r="L143" s="87"/>
      <c r="M143" s="9"/>
      <c r="N143" s="9"/>
      <c r="O143" s="9"/>
      <c r="P143" s="9"/>
      <c r="Q143" s="9"/>
      <c r="R143" s="9"/>
      <c r="S143" s="9"/>
      <c r="T143" s="9"/>
      <c r="U143" s="9"/>
      <c r="V143" s="9"/>
      <c r="W143" s="9"/>
      <c r="X143" s="9"/>
    </row>
    <row r="144" spans="2:24" ht="16.5" hidden="1" customHeight="1">
      <c r="B144" s="93" t="s">
        <v>82</v>
      </c>
      <c r="H144" s="28" t="s">
        <v>1754</v>
      </c>
      <c r="I144" s="114">
        <f ca="1">SUM(M144:X144)</f>
        <v>7896.1150477440005</v>
      </c>
      <c r="K144" s="87"/>
      <c r="L144" s="87"/>
      <c r="M144" s="10">
        <f t="shared" ref="M144:X144" ca="1" si="14">SUM(M131:M142)</f>
        <v>278.08810747199999</v>
      </c>
      <c r="N144" s="10">
        <f t="shared" ca="1" si="14"/>
        <v>253.74598099199997</v>
      </c>
      <c r="O144" s="10">
        <f t="shared" ca="1" si="14"/>
        <v>607.56236352000008</v>
      </c>
      <c r="P144" s="10">
        <f t="shared" ca="1" si="14"/>
        <v>1012.5691027199999</v>
      </c>
      <c r="Q144" s="10">
        <f t="shared" ca="1" si="14"/>
        <v>1068.7139416800001</v>
      </c>
      <c r="R144" s="10">
        <f t="shared" ca="1" si="14"/>
        <v>1069.50878496</v>
      </c>
      <c r="S144" s="10">
        <f t="shared" ca="1" si="14"/>
        <v>1006.51245408</v>
      </c>
      <c r="T144" s="10">
        <f t="shared" ca="1" si="14"/>
        <v>929.58509649600001</v>
      </c>
      <c r="U144" s="10">
        <f t="shared" ca="1" si="14"/>
        <v>744.81346800000006</v>
      </c>
      <c r="V144" s="10">
        <f t="shared" ca="1" si="14"/>
        <v>567.06748660799997</v>
      </c>
      <c r="W144" s="10">
        <f t="shared" ca="1" si="14"/>
        <v>212.25377376</v>
      </c>
      <c r="X144" s="10">
        <f t="shared" ca="1" si="14"/>
        <v>145.69448745600002</v>
      </c>
    </row>
    <row r="145" spans="2:24" ht="6.75" hidden="1" customHeight="1">
      <c r="B145" s="107"/>
      <c r="C145" s="86"/>
      <c r="D145" s="86"/>
      <c r="E145" s="86"/>
      <c r="F145" s="86"/>
      <c r="G145" s="86"/>
      <c r="H145" s="361"/>
      <c r="I145" s="109"/>
      <c r="K145" s="87"/>
      <c r="L145" s="87"/>
      <c r="M145" s="10"/>
      <c r="N145" s="10"/>
      <c r="O145" s="10"/>
      <c r="P145" s="10"/>
      <c r="Q145" s="10"/>
      <c r="R145" s="10"/>
      <c r="S145" s="10"/>
      <c r="T145" s="10"/>
      <c r="U145" s="10"/>
      <c r="V145" s="10"/>
      <c r="W145" s="10"/>
      <c r="X145" s="10"/>
    </row>
    <row r="146" spans="2:24" ht="16.5" customHeight="1">
      <c r="B146" s="106" t="s">
        <v>150</v>
      </c>
      <c r="C146" s="90"/>
      <c r="D146" s="90"/>
      <c r="E146" s="90"/>
      <c r="F146" s="90"/>
      <c r="G146" s="90"/>
      <c r="H146" s="90"/>
      <c r="I146" s="91"/>
      <c r="K146" s="87">
        <f>ROW(B147)</f>
        <v>147</v>
      </c>
      <c r="L146" s="87">
        <f>ROW(B173)</f>
        <v>173</v>
      </c>
    </row>
    <row r="147" spans="2:24" ht="41.25" hidden="1" customHeight="1">
      <c r="B147" s="344" t="s">
        <v>9</v>
      </c>
      <c r="C147" s="309" t="s">
        <v>77</v>
      </c>
      <c r="D147" s="309" t="s">
        <v>10</v>
      </c>
      <c r="E147" s="618" t="s">
        <v>0</v>
      </c>
      <c r="F147" s="309" t="s">
        <v>137</v>
      </c>
      <c r="G147" s="618" t="s">
        <v>141</v>
      </c>
      <c r="H147" s="309" t="s">
        <v>140</v>
      </c>
      <c r="I147" s="345" t="s">
        <v>54</v>
      </c>
      <c r="K147" s="87"/>
      <c r="L147" s="87"/>
      <c r="M147" s="8" t="s">
        <v>173</v>
      </c>
    </row>
    <row r="148" spans="2:24" ht="16.5" hidden="1" customHeight="1">
      <c r="B148" s="360"/>
      <c r="C148" s="346"/>
      <c r="D148" s="309" t="s">
        <v>115</v>
      </c>
      <c r="E148" s="618" t="s">
        <v>8</v>
      </c>
      <c r="F148" s="618" t="s">
        <v>138</v>
      </c>
      <c r="G148" s="618" t="s">
        <v>139</v>
      </c>
      <c r="H148" s="309" t="s">
        <v>142</v>
      </c>
      <c r="I148" s="345" t="s">
        <v>55</v>
      </c>
      <c r="K148" s="87"/>
      <c r="L148" s="87"/>
      <c r="M148" s="6" t="s">
        <v>116</v>
      </c>
      <c r="N148" s="6" t="s">
        <v>117</v>
      </c>
      <c r="O148" s="6" t="s">
        <v>118</v>
      </c>
      <c r="P148" s="6" t="s">
        <v>119</v>
      </c>
      <c r="Q148" s="6" t="s">
        <v>120</v>
      </c>
      <c r="R148" s="6" t="s">
        <v>121</v>
      </c>
      <c r="S148" s="6" t="s">
        <v>122</v>
      </c>
      <c r="T148" s="6" t="s">
        <v>123</v>
      </c>
      <c r="U148" s="6" t="s">
        <v>124</v>
      </c>
      <c r="V148" s="6" t="s">
        <v>125</v>
      </c>
      <c r="W148" s="6" t="s">
        <v>126</v>
      </c>
      <c r="X148" s="6" t="s">
        <v>127</v>
      </c>
    </row>
    <row r="149" spans="2:24" ht="16.5" hidden="1" customHeight="1" thickBot="1">
      <c r="B149" s="82" t="str">
        <f t="shared" ref="B149:B160" si="15">B18</f>
        <v>AW 1</v>
      </c>
      <c r="C149" s="1" t="str">
        <f t="shared" ref="C149:C160" si="16">IF(C18&lt;&gt;"",C18,"")</f>
        <v>Nord</v>
      </c>
      <c r="D149" s="1" t="str">
        <f t="shared" ref="D149:E160" si="17">IF(E18&lt;&gt;"",E18,"")</f>
        <v>90°</v>
      </c>
      <c r="E149" s="143">
        <f t="shared" ca="1" si="17"/>
        <v>35.787800000000004</v>
      </c>
      <c r="F149" s="601">
        <f>VLOOKUP($B149,Geometrie!$A:$R,15,FALSE)</f>
        <v>0.5</v>
      </c>
      <c r="G149" s="740">
        <f t="shared" ref="G149:G170" si="18">IF($C149&lt;&gt;"",VLOOKUP($B149,$B$18:$G$75,6,FALSE),0)*0.04</f>
        <v>1.1200000000000002E-2</v>
      </c>
      <c r="H149" s="94">
        <f>IF($C149&lt;&gt;"",IF(OR(D149="60°",D149="90°"),0.5,1)*4*10,0)</f>
        <v>20</v>
      </c>
      <c r="I149" s="110" t="s">
        <v>79</v>
      </c>
      <c r="K149" s="87"/>
      <c r="L149" s="87"/>
      <c r="M149" s="11">
        <f t="shared" ref="M149:X162" ca="1" si="19">IF(AND($C149&lt;&gt;"",$C149&gt;0),0.024*$E149*$G149*($F149*VLOOKUP(IF($D149="0°","Horizontal - 0°",$C149&amp;" - "&amp;$D149),$G$273:$X$305,MONTH((DATEVALUE("1. "&amp;M$4)))+6,FALSE)-$H149)*M$307,"")</f>
        <v>-4.4731886976000013</v>
      </c>
      <c r="N149" s="11">
        <f t="shared" ca="1" si="19"/>
        <v>-2.9628862771200009</v>
      </c>
      <c r="O149" s="11">
        <f t="shared" ca="1" si="19"/>
        <v>-1.3419566092800004</v>
      </c>
      <c r="P149" s="11">
        <f t="shared" ca="1" si="19"/>
        <v>2.5973353728000008</v>
      </c>
      <c r="Q149" s="11">
        <f t="shared" ca="1" si="19"/>
        <v>5.2187201472000009</v>
      </c>
      <c r="R149" s="11">
        <f t="shared" ca="1" si="19"/>
        <v>6.2047456128000009</v>
      </c>
      <c r="S149" s="11">
        <f t="shared" ca="1" si="19"/>
        <v>6.113357886720002</v>
      </c>
      <c r="T149" s="11">
        <f t="shared" ca="1" si="19"/>
        <v>2.5348069286400006</v>
      </c>
      <c r="U149" s="11">
        <f t="shared" ca="1" si="19"/>
        <v>0.14429640960000004</v>
      </c>
      <c r="V149" s="11">
        <f t="shared" ca="1" si="19"/>
        <v>-2.2365943488000006</v>
      </c>
      <c r="W149" s="11">
        <f t="shared" ca="1" si="19"/>
        <v>-3.8960030592000008</v>
      </c>
      <c r="X149" s="11">
        <f t="shared" ca="1" si="19"/>
        <v>-4.9205075673600014</v>
      </c>
    </row>
    <row r="150" spans="2:24" ht="16.5" hidden="1" customHeight="1" thickBot="1">
      <c r="B150" s="82" t="str">
        <f t="shared" si="15"/>
        <v>AW 2</v>
      </c>
      <c r="C150" s="1" t="str">
        <f t="shared" si="16"/>
        <v>West</v>
      </c>
      <c r="D150" s="1" t="str">
        <f t="shared" si="17"/>
        <v>90°</v>
      </c>
      <c r="E150" s="143">
        <f t="shared" ca="1" si="17"/>
        <v>36.936199999999999</v>
      </c>
      <c r="F150" s="601">
        <f>VLOOKUP($B150,Geometrie!$A:$R,15,FALSE)</f>
        <v>0.5</v>
      </c>
      <c r="G150" s="740">
        <f t="shared" si="18"/>
        <v>1.1200000000000002E-2</v>
      </c>
      <c r="H150" s="94">
        <f t="shared" ref="H150:H170" si="20">IF($C150&lt;&gt;"",IF(OR(D150="60°",D150="90°"),0.5,1)*4*10,0)</f>
        <v>20</v>
      </c>
      <c r="I150" s="110" t="s">
        <v>79</v>
      </c>
      <c r="K150" s="87"/>
      <c r="L150" s="87"/>
      <c r="M150" s="11">
        <f t="shared" ca="1" si="19"/>
        <v>-3.5394926246400003</v>
      </c>
      <c r="N150" s="11">
        <f t="shared" ca="1" si="19"/>
        <v>-2.2239729254400005</v>
      </c>
      <c r="O150" s="11">
        <f t="shared" ca="1" si="19"/>
        <v>3.0778196736000005</v>
      </c>
      <c r="P150" s="11">
        <f t="shared" ca="1" si="19"/>
        <v>11.020580121600002</v>
      </c>
      <c r="Q150" s="11">
        <f t="shared" ca="1" si="19"/>
        <v>13.388515580160002</v>
      </c>
      <c r="R150" s="11">
        <f t="shared" ca="1" si="19"/>
        <v>14.296968806400001</v>
      </c>
      <c r="S150" s="11">
        <f t="shared" ca="1" si="19"/>
        <v>11.849605743360001</v>
      </c>
      <c r="T150" s="11">
        <f t="shared" ca="1" si="19"/>
        <v>10.002913939200003</v>
      </c>
      <c r="U150" s="11">
        <f t="shared" ca="1" si="19"/>
        <v>5.808143577600001</v>
      </c>
      <c r="V150" s="11">
        <f t="shared" ca="1" si="19"/>
        <v>1.0772368857600003</v>
      </c>
      <c r="W150" s="11">
        <f t="shared" ca="1" si="19"/>
        <v>-3.1274619264000005</v>
      </c>
      <c r="X150" s="11">
        <f t="shared" ca="1" si="19"/>
        <v>-4.4628385267200006</v>
      </c>
    </row>
    <row r="151" spans="2:24" ht="16.5" hidden="1" customHeight="1" thickBot="1">
      <c r="B151" s="82" t="str">
        <f t="shared" si="15"/>
        <v>AW 3</v>
      </c>
      <c r="C151" s="1" t="str">
        <f t="shared" si="16"/>
        <v>Süd</v>
      </c>
      <c r="D151" s="1" t="str">
        <f t="shared" si="17"/>
        <v>90°</v>
      </c>
      <c r="E151" s="143">
        <f t="shared" ca="1" si="17"/>
        <v>33.43780000000001</v>
      </c>
      <c r="F151" s="601">
        <f>VLOOKUP($B151,Geometrie!$A:$R,15,FALSE)</f>
        <v>0.5</v>
      </c>
      <c r="G151" s="740">
        <f t="shared" si="18"/>
        <v>1.1200000000000002E-2</v>
      </c>
      <c r="H151" s="94">
        <f t="shared" si="20"/>
        <v>20</v>
      </c>
      <c r="I151" s="110" t="s">
        <v>79</v>
      </c>
      <c r="K151" s="87"/>
      <c r="L151" s="87"/>
      <c r="M151" s="11">
        <f t="shared" ca="1" si="19"/>
        <v>2.6469897484800016</v>
      </c>
      <c r="N151" s="11">
        <f t="shared" ca="1" si="19"/>
        <v>0.88083190272000045</v>
      </c>
      <c r="O151" s="11">
        <f t="shared" ca="1" si="19"/>
        <v>8.0802844953600044</v>
      </c>
      <c r="P151" s="11">
        <f t="shared" ca="1" si="19"/>
        <v>14.425869427200007</v>
      </c>
      <c r="Q151" s="11">
        <f t="shared" ca="1" si="19"/>
        <v>12.817002992640008</v>
      </c>
      <c r="R151" s="11">
        <f t="shared" ca="1" si="19"/>
        <v>11.324981606400007</v>
      </c>
      <c r="S151" s="11">
        <f t="shared" ca="1" si="19"/>
        <v>10.170013244160007</v>
      </c>
      <c r="T151" s="11">
        <f t="shared" ca="1" si="19"/>
        <v>12.120426743040008</v>
      </c>
      <c r="U151" s="11">
        <f t="shared" ca="1" si="19"/>
        <v>11.190160396800007</v>
      </c>
      <c r="V151" s="11">
        <f t="shared" ca="1" si="19"/>
        <v>9.1948064947200052</v>
      </c>
      <c r="W151" s="11">
        <f t="shared" ca="1" si="19"/>
        <v>-0.13482120960000007</v>
      </c>
      <c r="X151" s="11">
        <f t="shared" ca="1" si="19"/>
        <v>-1.5324677491200009</v>
      </c>
    </row>
    <row r="152" spans="2:24" ht="16.5" hidden="1" customHeight="1" thickBot="1">
      <c r="B152" s="82" t="str">
        <f t="shared" si="15"/>
        <v>AW 4</v>
      </c>
      <c r="C152" s="1" t="str">
        <f t="shared" si="16"/>
        <v>Ost</v>
      </c>
      <c r="D152" s="1" t="str">
        <f t="shared" si="17"/>
        <v>90°</v>
      </c>
      <c r="E152" s="143">
        <f t="shared" ca="1" si="17"/>
        <v>37.1462</v>
      </c>
      <c r="F152" s="601">
        <v>0.5</v>
      </c>
      <c r="G152" s="740">
        <f t="shared" si="18"/>
        <v>1.1200000000000002E-2</v>
      </c>
      <c r="H152" s="94">
        <f t="shared" si="20"/>
        <v>20</v>
      </c>
      <c r="I152" s="110" t="s">
        <v>79</v>
      </c>
      <c r="K152" s="87"/>
      <c r="L152" s="87"/>
      <c r="M152" s="11">
        <f t="shared" ca="1" si="19"/>
        <v>-2.3214889152000002</v>
      </c>
      <c r="N152" s="11">
        <f t="shared" ca="1" si="19"/>
        <v>-1.5376743782400002</v>
      </c>
      <c r="O152" s="11">
        <f t="shared" ca="1" si="19"/>
        <v>4.333445975040001</v>
      </c>
      <c r="P152" s="11">
        <f t="shared" ca="1" si="19"/>
        <v>14.078706969600002</v>
      </c>
      <c r="Q152" s="11">
        <f t="shared" ca="1" si="19"/>
        <v>15.012294984960002</v>
      </c>
      <c r="R152" s="11">
        <f t="shared" ca="1" si="19"/>
        <v>16.475082624000002</v>
      </c>
      <c r="S152" s="11">
        <f t="shared" ca="1" si="19"/>
        <v>15.167060912640002</v>
      </c>
      <c r="T152" s="11">
        <f t="shared" ca="1" si="19"/>
        <v>11.607444576000002</v>
      </c>
      <c r="U152" s="11">
        <f t="shared" ca="1" si="19"/>
        <v>6.4402595712000013</v>
      </c>
      <c r="V152" s="11">
        <f t="shared" ca="1" si="19"/>
        <v>2.3214889152000002</v>
      </c>
      <c r="W152" s="11">
        <f t="shared" ca="1" si="19"/>
        <v>-2.9954695680000007</v>
      </c>
      <c r="X152" s="11">
        <f t="shared" ca="1" si="19"/>
        <v>-4.333445975040001</v>
      </c>
    </row>
    <row r="153" spans="2:24" ht="16.5" hidden="1" customHeight="1" thickBot="1">
      <c r="B153" s="82" t="str">
        <f t="shared" si="15"/>
        <v>AW 5</v>
      </c>
      <c r="C153" s="1">
        <f t="shared" si="16"/>
        <v>0</v>
      </c>
      <c r="D153" s="1" t="str">
        <f t="shared" si="17"/>
        <v>90°</v>
      </c>
      <c r="E153" s="143">
        <f t="shared" ca="1" si="17"/>
        <v>0</v>
      </c>
      <c r="F153" s="601">
        <v>0.5</v>
      </c>
      <c r="G153" s="740">
        <f t="shared" si="18"/>
        <v>1.1200000000000002E-2</v>
      </c>
      <c r="H153" s="94">
        <f t="shared" si="20"/>
        <v>20</v>
      </c>
      <c r="I153" s="110" t="s">
        <v>79</v>
      </c>
      <c r="K153" s="87"/>
      <c r="L153" s="87"/>
      <c r="M153" s="11" t="str">
        <f t="shared" si="19"/>
        <v/>
      </c>
      <c r="N153" s="11" t="str">
        <f t="shared" si="19"/>
        <v/>
      </c>
      <c r="O153" s="11" t="str">
        <f t="shared" si="19"/>
        <v/>
      </c>
      <c r="P153" s="11" t="str">
        <f t="shared" si="19"/>
        <v/>
      </c>
      <c r="Q153" s="11" t="str">
        <f t="shared" si="19"/>
        <v/>
      </c>
      <c r="R153" s="11" t="str">
        <f t="shared" si="19"/>
        <v/>
      </c>
      <c r="S153" s="11" t="str">
        <f t="shared" si="19"/>
        <v/>
      </c>
      <c r="T153" s="11" t="str">
        <f t="shared" si="19"/>
        <v/>
      </c>
      <c r="U153" s="11" t="str">
        <f t="shared" si="19"/>
        <v/>
      </c>
      <c r="V153" s="11" t="str">
        <f t="shared" si="19"/>
        <v/>
      </c>
      <c r="W153" s="11" t="str">
        <f t="shared" si="19"/>
        <v/>
      </c>
      <c r="X153" s="11" t="str">
        <f t="shared" si="19"/>
        <v/>
      </c>
    </row>
    <row r="154" spans="2:24" ht="16.5" hidden="1" customHeight="1" thickBot="1">
      <c r="B154" s="82" t="str">
        <f t="shared" si="15"/>
        <v>AW 6</v>
      </c>
      <c r="C154" s="1">
        <f t="shared" si="16"/>
        <v>0</v>
      </c>
      <c r="D154" s="1" t="str">
        <f t="shared" si="17"/>
        <v>90°</v>
      </c>
      <c r="E154" s="143">
        <f t="shared" ca="1" si="17"/>
        <v>0</v>
      </c>
      <c r="F154" s="601">
        <v>0.5</v>
      </c>
      <c r="G154" s="740">
        <f t="shared" si="18"/>
        <v>1.1200000000000002E-2</v>
      </c>
      <c r="H154" s="94">
        <f t="shared" si="20"/>
        <v>20</v>
      </c>
      <c r="I154" s="110" t="s">
        <v>79</v>
      </c>
      <c r="K154" s="87"/>
      <c r="L154" s="87"/>
      <c r="M154" s="11" t="str">
        <f t="shared" si="19"/>
        <v/>
      </c>
      <c r="N154" s="11" t="str">
        <f t="shared" si="19"/>
        <v/>
      </c>
      <c r="O154" s="11" t="str">
        <f t="shared" si="19"/>
        <v/>
      </c>
      <c r="P154" s="11" t="str">
        <f t="shared" si="19"/>
        <v/>
      </c>
      <c r="Q154" s="11" t="str">
        <f t="shared" si="19"/>
        <v/>
      </c>
      <c r="R154" s="11" t="str">
        <f t="shared" si="19"/>
        <v/>
      </c>
      <c r="S154" s="11" t="str">
        <f t="shared" si="19"/>
        <v/>
      </c>
      <c r="T154" s="11" t="str">
        <f t="shared" si="19"/>
        <v/>
      </c>
      <c r="U154" s="11" t="str">
        <f t="shared" si="19"/>
        <v/>
      </c>
      <c r="V154" s="11" t="str">
        <f t="shared" si="19"/>
        <v/>
      </c>
      <c r="W154" s="11" t="str">
        <f t="shared" si="19"/>
        <v/>
      </c>
      <c r="X154" s="11" t="str">
        <f t="shared" si="19"/>
        <v/>
      </c>
    </row>
    <row r="155" spans="2:24" ht="16.5" hidden="1" customHeight="1" thickBot="1">
      <c r="B155" s="82" t="str">
        <f t="shared" si="15"/>
        <v>AW 7</v>
      </c>
      <c r="C155" s="1">
        <f t="shared" si="16"/>
        <v>0</v>
      </c>
      <c r="D155" s="1" t="str">
        <f t="shared" si="17"/>
        <v>90°</v>
      </c>
      <c r="E155" s="143">
        <f t="shared" ca="1" si="17"/>
        <v>0</v>
      </c>
      <c r="F155" s="601">
        <v>0.5</v>
      </c>
      <c r="G155" s="740">
        <f t="shared" si="18"/>
        <v>1.1200000000000002E-2</v>
      </c>
      <c r="H155" s="94">
        <f t="shared" si="20"/>
        <v>20</v>
      </c>
      <c r="I155" s="110" t="s">
        <v>79</v>
      </c>
      <c r="K155" s="87"/>
      <c r="L155" s="87"/>
      <c r="M155" s="11" t="str">
        <f t="shared" si="19"/>
        <v/>
      </c>
      <c r="N155" s="11" t="str">
        <f t="shared" si="19"/>
        <v/>
      </c>
      <c r="O155" s="11" t="str">
        <f t="shared" si="19"/>
        <v/>
      </c>
      <c r="P155" s="11" t="str">
        <f t="shared" si="19"/>
        <v/>
      </c>
      <c r="Q155" s="11" t="str">
        <f t="shared" si="19"/>
        <v/>
      </c>
      <c r="R155" s="11" t="str">
        <f t="shared" si="19"/>
        <v/>
      </c>
      <c r="S155" s="11" t="str">
        <f t="shared" si="19"/>
        <v/>
      </c>
      <c r="T155" s="11" t="str">
        <f t="shared" si="19"/>
        <v/>
      </c>
      <c r="U155" s="11" t="str">
        <f t="shared" si="19"/>
        <v/>
      </c>
      <c r="V155" s="11" t="str">
        <f t="shared" si="19"/>
        <v/>
      </c>
      <c r="W155" s="11" t="str">
        <f t="shared" si="19"/>
        <v/>
      </c>
      <c r="X155" s="11" t="str">
        <f t="shared" si="19"/>
        <v/>
      </c>
    </row>
    <row r="156" spans="2:24" ht="16.5" hidden="1" customHeight="1" thickBot="1">
      <c r="B156" s="82" t="str">
        <f t="shared" si="15"/>
        <v>AW 8</v>
      </c>
      <c r="C156" s="1">
        <f t="shared" si="16"/>
        <v>0</v>
      </c>
      <c r="D156" s="1" t="str">
        <f t="shared" si="17"/>
        <v>90°</v>
      </c>
      <c r="E156" s="143">
        <f t="shared" ca="1" si="17"/>
        <v>0</v>
      </c>
      <c r="F156" s="601">
        <v>0.5</v>
      </c>
      <c r="G156" s="740">
        <f t="shared" si="18"/>
        <v>1.1200000000000002E-2</v>
      </c>
      <c r="H156" s="94">
        <f t="shared" si="20"/>
        <v>20</v>
      </c>
      <c r="I156" s="110" t="s">
        <v>79</v>
      </c>
      <c r="K156" s="87"/>
      <c r="L156" s="87"/>
      <c r="M156" s="11" t="str">
        <f t="shared" si="19"/>
        <v/>
      </c>
      <c r="N156" s="11" t="str">
        <f t="shared" si="19"/>
        <v/>
      </c>
      <c r="O156" s="11" t="str">
        <f t="shared" si="19"/>
        <v/>
      </c>
      <c r="P156" s="11" t="str">
        <f t="shared" si="19"/>
        <v/>
      </c>
      <c r="Q156" s="11" t="str">
        <f t="shared" si="19"/>
        <v/>
      </c>
      <c r="R156" s="11" t="str">
        <f t="shared" si="19"/>
        <v/>
      </c>
      <c r="S156" s="11" t="str">
        <f t="shared" si="19"/>
        <v/>
      </c>
      <c r="T156" s="11" t="str">
        <f t="shared" si="19"/>
        <v/>
      </c>
      <c r="U156" s="11" t="str">
        <f t="shared" si="19"/>
        <v/>
      </c>
      <c r="V156" s="11" t="str">
        <f t="shared" si="19"/>
        <v/>
      </c>
      <c r="W156" s="11" t="str">
        <f t="shared" si="19"/>
        <v/>
      </c>
      <c r="X156" s="11" t="str">
        <f t="shared" si="19"/>
        <v/>
      </c>
    </row>
    <row r="157" spans="2:24" ht="16.5" hidden="1" customHeight="1" thickBot="1">
      <c r="B157" s="82" t="str">
        <f t="shared" si="15"/>
        <v>AW 9</v>
      </c>
      <c r="C157" s="1">
        <f t="shared" si="16"/>
        <v>0</v>
      </c>
      <c r="D157" s="1" t="str">
        <f t="shared" si="17"/>
        <v>90°</v>
      </c>
      <c r="E157" s="143">
        <f t="shared" ca="1" si="17"/>
        <v>0</v>
      </c>
      <c r="F157" s="601">
        <v>0.5</v>
      </c>
      <c r="G157" s="740">
        <f t="shared" si="18"/>
        <v>1.1200000000000002E-2</v>
      </c>
      <c r="H157" s="94">
        <f t="shared" si="20"/>
        <v>20</v>
      </c>
      <c r="I157" s="110" t="s">
        <v>79</v>
      </c>
      <c r="K157" s="87"/>
      <c r="L157" s="87"/>
      <c r="M157" s="11" t="str">
        <f t="shared" si="19"/>
        <v/>
      </c>
      <c r="N157" s="11" t="str">
        <f t="shared" si="19"/>
        <v/>
      </c>
      <c r="O157" s="11" t="str">
        <f t="shared" si="19"/>
        <v/>
      </c>
      <c r="P157" s="11" t="str">
        <f t="shared" si="19"/>
        <v/>
      </c>
      <c r="Q157" s="11" t="str">
        <f t="shared" si="19"/>
        <v/>
      </c>
      <c r="R157" s="11" t="str">
        <f t="shared" si="19"/>
        <v/>
      </c>
      <c r="S157" s="11" t="str">
        <f t="shared" si="19"/>
        <v/>
      </c>
      <c r="T157" s="11" t="str">
        <f t="shared" si="19"/>
        <v/>
      </c>
      <c r="U157" s="11" t="str">
        <f t="shared" si="19"/>
        <v/>
      </c>
      <c r="V157" s="11" t="str">
        <f t="shared" si="19"/>
        <v/>
      </c>
      <c r="W157" s="11" t="str">
        <f t="shared" si="19"/>
        <v/>
      </c>
      <c r="X157" s="11" t="str">
        <f t="shared" si="19"/>
        <v/>
      </c>
    </row>
    <row r="158" spans="2:24" ht="16.5" hidden="1" customHeight="1" thickBot="1">
      <c r="B158" s="82" t="str">
        <f t="shared" si="15"/>
        <v>AW 10</v>
      </c>
      <c r="C158" s="1">
        <f t="shared" si="16"/>
        <v>0</v>
      </c>
      <c r="D158" s="1" t="str">
        <f t="shared" si="17"/>
        <v>90°</v>
      </c>
      <c r="E158" s="143">
        <f t="shared" ca="1" si="17"/>
        <v>0</v>
      </c>
      <c r="F158" s="601">
        <v>0.5</v>
      </c>
      <c r="G158" s="740">
        <f t="shared" si="18"/>
        <v>1.1200000000000002E-2</v>
      </c>
      <c r="H158" s="94">
        <f t="shared" si="20"/>
        <v>20</v>
      </c>
      <c r="I158" s="110" t="s">
        <v>79</v>
      </c>
      <c r="K158" s="87"/>
      <c r="L158" s="87"/>
      <c r="M158" s="11" t="str">
        <f t="shared" si="19"/>
        <v/>
      </c>
      <c r="N158" s="11" t="str">
        <f t="shared" si="19"/>
        <v/>
      </c>
      <c r="O158" s="11" t="str">
        <f t="shared" si="19"/>
        <v/>
      </c>
      <c r="P158" s="11" t="str">
        <f t="shared" si="19"/>
        <v/>
      </c>
      <c r="Q158" s="11" t="str">
        <f t="shared" si="19"/>
        <v/>
      </c>
      <c r="R158" s="11" t="str">
        <f t="shared" si="19"/>
        <v/>
      </c>
      <c r="S158" s="11" t="str">
        <f t="shared" si="19"/>
        <v/>
      </c>
      <c r="T158" s="11" t="str">
        <f t="shared" si="19"/>
        <v/>
      </c>
      <c r="U158" s="11" t="str">
        <f t="shared" si="19"/>
        <v/>
      </c>
      <c r="V158" s="11" t="str">
        <f t="shared" si="19"/>
        <v/>
      </c>
      <c r="W158" s="11" t="str">
        <f t="shared" si="19"/>
        <v/>
      </c>
      <c r="X158" s="11" t="str">
        <f t="shared" si="19"/>
        <v/>
      </c>
    </row>
    <row r="159" spans="2:24" ht="16.5" hidden="1" customHeight="1" thickBot="1">
      <c r="B159" s="82" t="str">
        <f t="shared" si="15"/>
        <v>AW 11</v>
      </c>
      <c r="C159" s="1">
        <f t="shared" si="16"/>
        <v>0</v>
      </c>
      <c r="D159" s="1" t="str">
        <f t="shared" si="17"/>
        <v>90°</v>
      </c>
      <c r="E159" s="143">
        <f t="shared" ca="1" si="17"/>
        <v>0</v>
      </c>
      <c r="F159" s="601">
        <v>0.5</v>
      </c>
      <c r="G159" s="740">
        <f t="shared" si="18"/>
        <v>1.1200000000000002E-2</v>
      </c>
      <c r="H159" s="94">
        <f t="shared" si="20"/>
        <v>20</v>
      </c>
      <c r="I159" s="110" t="s">
        <v>79</v>
      </c>
      <c r="K159" s="87"/>
      <c r="L159" s="87"/>
      <c r="M159" s="11" t="str">
        <f t="shared" si="19"/>
        <v/>
      </c>
      <c r="N159" s="11" t="str">
        <f t="shared" si="19"/>
        <v/>
      </c>
      <c r="O159" s="11" t="str">
        <f t="shared" si="19"/>
        <v/>
      </c>
      <c r="P159" s="11" t="str">
        <f t="shared" si="19"/>
        <v/>
      </c>
      <c r="Q159" s="11" t="str">
        <f t="shared" si="19"/>
        <v/>
      </c>
      <c r="R159" s="11" t="str">
        <f t="shared" si="19"/>
        <v/>
      </c>
      <c r="S159" s="11" t="str">
        <f t="shared" si="19"/>
        <v/>
      </c>
      <c r="T159" s="11" t="str">
        <f t="shared" si="19"/>
        <v/>
      </c>
      <c r="U159" s="11" t="str">
        <f t="shared" si="19"/>
        <v/>
      </c>
      <c r="V159" s="11" t="str">
        <f t="shared" si="19"/>
        <v/>
      </c>
      <c r="W159" s="11" t="str">
        <f t="shared" si="19"/>
        <v/>
      </c>
      <c r="X159" s="11" t="str">
        <f t="shared" si="19"/>
        <v/>
      </c>
    </row>
    <row r="160" spans="2:24" ht="16.5" hidden="1" customHeight="1" thickBot="1">
      <c r="B160" s="82" t="str">
        <f t="shared" si="15"/>
        <v>AW 12</v>
      </c>
      <c r="C160" s="1">
        <f t="shared" si="16"/>
        <v>0</v>
      </c>
      <c r="D160" s="1" t="str">
        <f t="shared" si="17"/>
        <v>90°</v>
      </c>
      <c r="E160" s="143">
        <f t="shared" ca="1" si="17"/>
        <v>0</v>
      </c>
      <c r="F160" s="601">
        <v>0.5</v>
      </c>
      <c r="G160" s="740">
        <f t="shared" si="18"/>
        <v>1.1200000000000002E-2</v>
      </c>
      <c r="H160" s="94">
        <f t="shared" si="20"/>
        <v>20</v>
      </c>
      <c r="I160" s="110" t="s">
        <v>79</v>
      </c>
      <c r="K160" s="87"/>
      <c r="L160" s="87"/>
      <c r="M160" s="11" t="str">
        <f t="shared" si="19"/>
        <v/>
      </c>
      <c r="N160" s="11" t="str">
        <f t="shared" si="19"/>
        <v/>
      </c>
      <c r="O160" s="11" t="str">
        <f t="shared" si="19"/>
        <v/>
      </c>
      <c r="P160" s="11" t="str">
        <f t="shared" si="19"/>
        <v/>
      </c>
      <c r="Q160" s="11" t="str">
        <f t="shared" si="19"/>
        <v/>
      </c>
      <c r="R160" s="11" t="str">
        <f t="shared" si="19"/>
        <v/>
      </c>
      <c r="S160" s="11" t="str">
        <f t="shared" si="19"/>
        <v/>
      </c>
      <c r="T160" s="11" t="str">
        <f t="shared" si="19"/>
        <v/>
      </c>
      <c r="U160" s="11" t="str">
        <f t="shared" si="19"/>
        <v/>
      </c>
      <c r="V160" s="11" t="str">
        <f t="shared" si="19"/>
        <v/>
      </c>
      <c r="W160" s="11" t="str">
        <f t="shared" si="19"/>
        <v/>
      </c>
      <c r="X160" s="11" t="str">
        <f t="shared" si="19"/>
        <v/>
      </c>
    </row>
    <row r="161" spans="2:24" ht="16.5" hidden="1" customHeight="1" thickBot="1">
      <c r="B161" s="82" t="str">
        <f>B40</f>
        <v>T 1</v>
      </c>
      <c r="C161" s="1" t="str">
        <f>IF(C40&lt;&gt;"",C40,"")</f>
        <v>Nord</v>
      </c>
      <c r="D161" s="1" t="str">
        <f>IF(E40&lt;&gt;"",E40,"")</f>
        <v>90°</v>
      </c>
      <c r="E161" s="143">
        <f ca="1">IF(F40&lt;&gt;"",F40,"")</f>
        <v>3.81</v>
      </c>
      <c r="F161" s="601">
        <v>0.5</v>
      </c>
      <c r="G161" s="740">
        <f>IF($C161&lt;&gt;"",VLOOKUP($B161,$B$18:$G$75,6,FALSE),0)*0.04</f>
        <v>7.2000000000000008E-2</v>
      </c>
      <c r="H161" s="94">
        <f t="shared" si="20"/>
        <v>20</v>
      </c>
      <c r="I161" s="110" t="s">
        <v>79</v>
      </c>
      <c r="K161" s="87"/>
      <c r="L161" s="87"/>
      <c r="M161" s="11">
        <f t="shared" ca="1" si="19"/>
        <v>-3.0614112000000007</v>
      </c>
      <c r="N161" s="11">
        <f t="shared" ca="1" si="19"/>
        <v>-2.0277734400000003</v>
      </c>
      <c r="O161" s="11">
        <f t="shared" ca="1" si="19"/>
        <v>-0.91842336000000024</v>
      </c>
      <c r="P161" s="11">
        <f t="shared" ca="1" si="19"/>
        <v>1.7775936000000003</v>
      </c>
      <c r="Q161" s="11">
        <f t="shared" ca="1" si="19"/>
        <v>3.5716464000000006</v>
      </c>
      <c r="R161" s="11">
        <f t="shared" ca="1" si="19"/>
        <v>4.2464736000000007</v>
      </c>
      <c r="S161" s="11">
        <f t="shared" ca="1" si="19"/>
        <v>4.1839286400000004</v>
      </c>
      <c r="T161" s="11">
        <f t="shared" ca="1" si="19"/>
        <v>1.7347996800000005</v>
      </c>
      <c r="U161" s="11">
        <f t="shared" ca="1" si="19"/>
        <v>9.8755200000000015E-2</v>
      </c>
      <c r="V161" s="11">
        <f t="shared" ca="1" si="19"/>
        <v>-1.5307056000000003</v>
      </c>
      <c r="W161" s="11">
        <f t="shared" ca="1" si="19"/>
        <v>-2.6663904000000005</v>
      </c>
      <c r="X161" s="11">
        <f t="shared" ca="1" si="19"/>
        <v>-3.367552320000001</v>
      </c>
    </row>
    <row r="162" spans="2:24" ht="16.5" hidden="1" customHeight="1" thickBot="1">
      <c r="B162" s="82" t="str">
        <f>B41</f>
        <v>T 2</v>
      </c>
      <c r="C162" s="1" t="str">
        <f>IF(C41&lt;&gt;"",C41,"")</f>
        <v/>
      </c>
      <c r="D162" s="1" t="str">
        <f>IF(E41&lt;&gt;"",E41,"")</f>
        <v>90°</v>
      </c>
      <c r="E162" s="143">
        <f ca="1">IF(F41&lt;&gt;"",F41,"")</f>
        <v>0</v>
      </c>
      <c r="F162" s="601">
        <v>0.5</v>
      </c>
      <c r="G162" s="740">
        <f t="shared" si="18"/>
        <v>0</v>
      </c>
      <c r="H162" s="94">
        <f>IF($C162&lt;&gt;"",IF(OR(D162="60°",D162="90°"),0.5,1)*4*10,0)</f>
        <v>0</v>
      </c>
      <c r="I162" s="110" t="s">
        <v>79</v>
      </c>
      <c r="K162" s="87"/>
      <c r="L162" s="87"/>
      <c r="M162" s="11" t="str">
        <f t="shared" si="19"/>
        <v/>
      </c>
      <c r="N162" s="11" t="str">
        <f t="shared" si="19"/>
        <v/>
      </c>
      <c r="O162" s="11" t="str">
        <f t="shared" si="19"/>
        <v/>
      </c>
      <c r="P162" s="11" t="str">
        <f t="shared" si="19"/>
        <v/>
      </c>
      <c r="Q162" s="11" t="str">
        <f t="shared" si="19"/>
        <v/>
      </c>
      <c r="R162" s="11" t="str">
        <f t="shared" si="19"/>
        <v/>
      </c>
      <c r="S162" s="11" t="str">
        <f t="shared" si="19"/>
        <v/>
      </c>
      <c r="T162" s="11" t="str">
        <f t="shared" si="19"/>
        <v/>
      </c>
      <c r="U162" s="11" t="str">
        <f t="shared" si="19"/>
        <v/>
      </c>
      <c r="V162" s="11" t="str">
        <f t="shared" si="19"/>
        <v/>
      </c>
      <c r="W162" s="11" t="str">
        <f t="shared" si="19"/>
        <v/>
      </c>
      <c r="X162" s="11" t="str">
        <f t="shared" si="19"/>
        <v/>
      </c>
    </row>
    <row r="163" spans="2:24" ht="16.5" hidden="1" customHeight="1" thickBot="1">
      <c r="B163" s="82" t="str">
        <f t="shared" ref="B163:B170" si="21">B45</f>
        <v>D 1</v>
      </c>
      <c r="C163" s="1" t="str">
        <f t="shared" ref="C163:C170" si="22">IF(C45&lt;&gt;"",C45,"")</f>
        <v>Nord</v>
      </c>
      <c r="D163" s="1" t="str">
        <f t="shared" ref="D163:E170" si="23">IF(E45&lt;&gt;"",E45,"")</f>
        <v>45°</v>
      </c>
      <c r="E163" s="143">
        <f t="shared" ca="1" si="23"/>
        <v>22.648000000000003</v>
      </c>
      <c r="F163" s="602">
        <v>0.5</v>
      </c>
      <c r="G163" s="740">
        <f t="shared" si="18"/>
        <v>8.0000000000000002E-3</v>
      </c>
      <c r="H163" s="94">
        <f t="shared" si="20"/>
        <v>40</v>
      </c>
      <c r="I163" s="110" t="s">
        <v>79</v>
      </c>
      <c r="K163" s="87"/>
      <c r="L163" s="87"/>
      <c r="M163" s="11">
        <f t="shared" ref="M163:X170" ca="1" si="24">IF(AND($C163&lt;&gt;"",$C163&gt;0),0.024*$E163*$G163*($F163*VLOOKUP(IF(OR($C163="Horizontal",$D163="0°"),"Horizontal - 0°",$C163&amp;" - "&amp;$D163),$G$273:$X$305,MONTH((DATEVALUE("1. "&amp;M$4)))+6,FALSE)-$H163)*M$307,"")</f>
        <v>-4.3810291200000009</v>
      </c>
      <c r="N163" s="11">
        <f t="shared" ca="1" si="24"/>
        <v>-3.2874024960000008</v>
      </c>
      <c r="O163" s="11">
        <f t="shared" ca="1" si="24"/>
        <v>-2.4938165760000004</v>
      </c>
      <c r="P163" s="11">
        <f t="shared" ca="1" si="24"/>
        <v>0.65226240000000013</v>
      </c>
      <c r="Q163" s="11">
        <f t="shared" ca="1" si="24"/>
        <v>3.7744250880000005</v>
      </c>
      <c r="R163" s="11">
        <f t="shared" ca="1" si="24"/>
        <v>5.2833254400000014</v>
      </c>
      <c r="S163" s="11">
        <f t="shared" ca="1" si="24"/>
        <v>4.3810291200000009</v>
      </c>
      <c r="T163" s="11">
        <f t="shared" ca="1" si="24"/>
        <v>1.0110067200000004</v>
      </c>
      <c r="U163" s="11">
        <f t="shared" ca="1" si="24"/>
        <v>-1.5654297600000002</v>
      </c>
      <c r="V163" s="11">
        <f t="shared" ca="1" si="24"/>
        <v>-3.1678210560000006</v>
      </c>
      <c r="W163" s="11">
        <f t="shared" ca="1" si="24"/>
        <v>-3.9788006400000007</v>
      </c>
      <c r="X163" s="11">
        <f t="shared" ca="1" si="24"/>
        <v>-4.7180313600000012</v>
      </c>
    </row>
    <row r="164" spans="2:24" ht="16.5" hidden="1" customHeight="1" thickBot="1">
      <c r="B164" s="82" t="str">
        <f t="shared" si="21"/>
        <v>D 2</v>
      </c>
      <c r="C164" s="1" t="str">
        <f t="shared" si="22"/>
        <v>Süd</v>
      </c>
      <c r="D164" s="1" t="str">
        <f t="shared" si="23"/>
        <v>45°</v>
      </c>
      <c r="E164" s="143">
        <f t="shared" ca="1" si="23"/>
        <v>22.648000000000003</v>
      </c>
      <c r="F164" s="602">
        <v>0.5</v>
      </c>
      <c r="G164" s="740">
        <f t="shared" si="18"/>
        <v>8.0000000000000002E-3</v>
      </c>
      <c r="H164" s="94">
        <f t="shared" si="20"/>
        <v>40</v>
      </c>
      <c r="I164" s="110" t="s">
        <v>79</v>
      </c>
      <c r="K164" s="87"/>
      <c r="L164" s="87"/>
      <c r="M164" s="11">
        <f t="shared" ca="1" si="24"/>
        <v>-1.5502103040000004</v>
      </c>
      <c r="N164" s="11">
        <f t="shared" ca="1" si="24"/>
        <v>-1.4610677760000002</v>
      </c>
      <c r="O164" s="11">
        <f t="shared" ca="1" si="24"/>
        <v>2.9656197120000005</v>
      </c>
      <c r="P164" s="11">
        <f t="shared" ca="1" si="24"/>
        <v>8.7403161600000026</v>
      </c>
      <c r="Q164" s="11">
        <f t="shared" ca="1" si="24"/>
        <v>9.3012618240000009</v>
      </c>
      <c r="R164" s="11">
        <f t="shared" ca="1" si="24"/>
        <v>9.3925785600000022</v>
      </c>
      <c r="S164" s="11">
        <f t="shared" ca="1" si="24"/>
        <v>7.6836510720000009</v>
      </c>
      <c r="T164" s="11">
        <f t="shared" ca="1" si="24"/>
        <v>7.6162506240000019</v>
      </c>
      <c r="U164" s="11">
        <f t="shared" ca="1" si="24"/>
        <v>5.218099200000001</v>
      </c>
      <c r="V164" s="11">
        <f t="shared" ca="1" si="24"/>
        <v>2.6286174720000006</v>
      </c>
      <c r="W164" s="11">
        <f t="shared" ca="1" si="24"/>
        <v>-2.3481446400000006</v>
      </c>
      <c r="X164" s="11">
        <f t="shared" ca="1" si="24"/>
        <v>-3.4374228480000006</v>
      </c>
    </row>
    <row r="165" spans="2:24" ht="16.5" hidden="1" customHeight="1" thickBot="1">
      <c r="B165" s="82" t="str">
        <f t="shared" si="21"/>
        <v>D 3</v>
      </c>
      <c r="C165" s="1" t="str">
        <f t="shared" si="22"/>
        <v>Ost</v>
      </c>
      <c r="D165" s="1" t="str">
        <f t="shared" si="23"/>
        <v>45°</v>
      </c>
      <c r="E165" s="143">
        <f t="shared" ca="1" si="23"/>
        <v>0.76140000000000008</v>
      </c>
      <c r="F165" s="602">
        <v>0.5</v>
      </c>
      <c r="G165" s="740">
        <f t="shared" si="18"/>
        <v>8.0000000000000002E-3</v>
      </c>
      <c r="H165" s="94">
        <f t="shared" si="20"/>
        <v>40</v>
      </c>
      <c r="I165" s="110" t="s">
        <v>79</v>
      </c>
      <c r="K165" s="87"/>
      <c r="L165" s="87"/>
      <c r="M165" s="11">
        <f t="shared" ca="1" si="24"/>
        <v>-0.1110303936</v>
      </c>
      <c r="N165" s="11">
        <f t="shared" ca="1" si="24"/>
        <v>-7.9819084799999995E-2</v>
      </c>
      <c r="O165" s="11">
        <f t="shared" ca="1" si="24"/>
        <v>2.4925190400000002E-2</v>
      </c>
      <c r="P165" s="11">
        <f t="shared" ca="1" si="24"/>
        <v>0.22147603200000002</v>
      </c>
      <c r="Q165" s="11">
        <f t="shared" ca="1" si="24"/>
        <v>0.26737931519999997</v>
      </c>
      <c r="R165" s="11">
        <f t="shared" ca="1" si="24"/>
        <v>0.30041798399999997</v>
      </c>
      <c r="S165" s="11">
        <f t="shared" ca="1" si="24"/>
        <v>0.2583156096</v>
      </c>
      <c r="T165" s="11">
        <f t="shared" ca="1" si="24"/>
        <v>0.18807189120000001</v>
      </c>
      <c r="U165" s="11">
        <f t="shared" ca="1" si="24"/>
        <v>7.6749120000000004E-2</v>
      </c>
      <c r="V165" s="11">
        <f t="shared" ca="1" si="24"/>
        <v>-1.3595558400000001E-2</v>
      </c>
      <c r="W165" s="11">
        <f t="shared" ca="1" si="24"/>
        <v>-0.114027264</v>
      </c>
      <c r="X165" s="11">
        <f t="shared" ca="1" si="24"/>
        <v>-0.14501928960000002</v>
      </c>
    </row>
    <row r="166" spans="2:24" ht="16.5" hidden="1" customHeight="1" thickBot="1">
      <c r="B166" s="82" t="str">
        <f t="shared" si="21"/>
        <v>D 4</v>
      </c>
      <c r="C166" s="1" t="str">
        <f t="shared" si="22"/>
        <v>Ost</v>
      </c>
      <c r="D166" s="1" t="str">
        <f t="shared" si="23"/>
        <v>45°</v>
      </c>
      <c r="E166" s="143">
        <f t="shared" ca="1" si="23"/>
        <v>0.76140000000000008</v>
      </c>
      <c r="F166" s="602">
        <v>0.5</v>
      </c>
      <c r="G166" s="740">
        <f t="shared" si="18"/>
        <v>8.0000000000000002E-3</v>
      </c>
      <c r="H166" s="94">
        <f t="shared" si="20"/>
        <v>40</v>
      </c>
      <c r="I166" s="110" t="s">
        <v>79</v>
      </c>
      <c r="K166" s="87"/>
      <c r="L166" s="87"/>
      <c r="M166" s="11">
        <f t="shared" ca="1" si="24"/>
        <v>-0.1110303936</v>
      </c>
      <c r="N166" s="11">
        <f t="shared" ca="1" si="24"/>
        <v>-7.9819084799999995E-2</v>
      </c>
      <c r="O166" s="11">
        <f t="shared" ca="1" si="24"/>
        <v>2.4925190400000002E-2</v>
      </c>
      <c r="P166" s="11">
        <f t="shared" ca="1" si="24"/>
        <v>0.22147603200000002</v>
      </c>
      <c r="Q166" s="11">
        <f t="shared" ca="1" si="24"/>
        <v>0.26737931519999997</v>
      </c>
      <c r="R166" s="11">
        <f t="shared" ca="1" si="24"/>
        <v>0.30041798399999997</v>
      </c>
      <c r="S166" s="11">
        <f t="shared" ca="1" si="24"/>
        <v>0.2583156096</v>
      </c>
      <c r="T166" s="11">
        <f t="shared" ca="1" si="24"/>
        <v>0.18807189120000001</v>
      </c>
      <c r="U166" s="11">
        <f t="shared" ca="1" si="24"/>
        <v>7.6749120000000004E-2</v>
      </c>
      <c r="V166" s="11">
        <f t="shared" ca="1" si="24"/>
        <v>-1.3595558400000001E-2</v>
      </c>
      <c r="W166" s="11">
        <f t="shared" ca="1" si="24"/>
        <v>-0.114027264</v>
      </c>
      <c r="X166" s="11">
        <f t="shared" ca="1" si="24"/>
        <v>-0.14501928960000002</v>
      </c>
    </row>
    <row r="167" spans="2:24" ht="16.5" hidden="1" customHeight="1" thickBot="1">
      <c r="B167" s="82" t="str">
        <f t="shared" si="21"/>
        <v>D 5</v>
      </c>
      <c r="C167" s="1">
        <f t="shared" si="22"/>
        <v>0</v>
      </c>
      <c r="D167" s="1">
        <f t="shared" si="23"/>
        <v>0</v>
      </c>
      <c r="E167" s="143">
        <f t="shared" ca="1" si="23"/>
        <v>0</v>
      </c>
      <c r="F167" s="602">
        <v>0.5</v>
      </c>
      <c r="G167" s="740">
        <f t="shared" si="18"/>
        <v>8.0000000000000002E-3</v>
      </c>
      <c r="H167" s="94">
        <f t="shared" si="20"/>
        <v>40</v>
      </c>
      <c r="I167" s="110" t="s">
        <v>79</v>
      </c>
      <c r="K167" s="87"/>
      <c r="L167" s="87"/>
      <c r="M167" s="11" t="str">
        <f t="shared" si="24"/>
        <v/>
      </c>
      <c r="N167" s="11" t="str">
        <f t="shared" si="24"/>
        <v/>
      </c>
      <c r="O167" s="11" t="str">
        <f t="shared" si="24"/>
        <v/>
      </c>
      <c r="P167" s="11" t="str">
        <f t="shared" si="24"/>
        <v/>
      </c>
      <c r="Q167" s="11" t="str">
        <f t="shared" si="24"/>
        <v/>
      </c>
      <c r="R167" s="11" t="str">
        <f t="shared" si="24"/>
        <v/>
      </c>
      <c r="S167" s="11" t="str">
        <f t="shared" si="24"/>
        <v/>
      </c>
      <c r="T167" s="11" t="str">
        <f t="shared" si="24"/>
        <v/>
      </c>
      <c r="U167" s="11" t="str">
        <f t="shared" si="24"/>
        <v/>
      </c>
      <c r="V167" s="11" t="str">
        <f t="shared" si="24"/>
        <v/>
      </c>
      <c r="W167" s="11" t="str">
        <f t="shared" si="24"/>
        <v/>
      </c>
      <c r="X167" s="11" t="str">
        <f t="shared" si="24"/>
        <v/>
      </c>
    </row>
    <row r="168" spans="2:24" ht="16.5" hidden="1" customHeight="1" thickBot="1">
      <c r="B168" s="82" t="str">
        <f t="shared" si="21"/>
        <v>D 6</v>
      </c>
      <c r="C168" s="1">
        <f t="shared" si="22"/>
        <v>0</v>
      </c>
      <c r="D168" s="1">
        <f t="shared" si="23"/>
        <v>0</v>
      </c>
      <c r="E168" s="143">
        <f t="shared" ca="1" si="23"/>
        <v>0</v>
      </c>
      <c r="F168" s="602">
        <v>0.5</v>
      </c>
      <c r="G168" s="740">
        <f t="shared" si="18"/>
        <v>8.0000000000000002E-3</v>
      </c>
      <c r="H168" s="94">
        <f t="shared" si="20"/>
        <v>40</v>
      </c>
      <c r="I168" s="110" t="s">
        <v>79</v>
      </c>
      <c r="K168" s="87"/>
      <c r="L168" s="87"/>
      <c r="M168" s="11" t="str">
        <f t="shared" si="24"/>
        <v/>
      </c>
      <c r="N168" s="11" t="str">
        <f t="shared" si="24"/>
        <v/>
      </c>
      <c r="O168" s="11" t="str">
        <f t="shared" si="24"/>
        <v/>
      </c>
      <c r="P168" s="11" t="str">
        <f t="shared" si="24"/>
        <v/>
      </c>
      <c r="Q168" s="11" t="str">
        <f t="shared" si="24"/>
        <v/>
      </c>
      <c r="R168" s="11" t="str">
        <f t="shared" si="24"/>
        <v/>
      </c>
      <c r="S168" s="11" t="str">
        <f t="shared" si="24"/>
        <v/>
      </c>
      <c r="T168" s="11" t="str">
        <f t="shared" si="24"/>
        <v/>
      </c>
      <c r="U168" s="11" t="str">
        <f t="shared" si="24"/>
        <v/>
      </c>
      <c r="V168" s="11" t="str">
        <f t="shared" si="24"/>
        <v/>
      </c>
      <c r="W168" s="11" t="str">
        <f t="shared" si="24"/>
        <v/>
      </c>
      <c r="X168" s="11" t="str">
        <f t="shared" si="24"/>
        <v/>
      </c>
    </row>
    <row r="169" spans="2:24" ht="16.5" hidden="1" customHeight="1" thickBot="1">
      <c r="B169" s="82" t="str">
        <f t="shared" si="21"/>
        <v>D 7</v>
      </c>
      <c r="C169" s="1">
        <f t="shared" si="22"/>
        <v>0</v>
      </c>
      <c r="D169" s="1">
        <f t="shared" si="23"/>
        <v>0</v>
      </c>
      <c r="E169" s="143">
        <f t="shared" ca="1" si="23"/>
        <v>0</v>
      </c>
      <c r="F169" s="602">
        <v>0.5</v>
      </c>
      <c r="G169" s="740">
        <f t="shared" si="18"/>
        <v>8.0000000000000002E-3</v>
      </c>
      <c r="H169" s="94">
        <f t="shared" si="20"/>
        <v>40</v>
      </c>
      <c r="I169" s="110" t="s">
        <v>79</v>
      </c>
      <c r="K169" s="87"/>
      <c r="L169" s="87"/>
      <c r="M169" s="11" t="str">
        <f t="shared" si="24"/>
        <v/>
      </c>
      <c r="N169" s="11" t="str">
        <f t="shared" si="24"/>
        <v/>
      </c>
      <c r="O169" s="11" t="str">
        <f t="shared" si="24"/>
        <v/>
      </c>
      <c r="P169" s="11" t="str">
        <f t="shared" si="24"/>
        <v/>
      </c>
      <c r="Q169" s="11" t="str">
        <f t="shared" si="24"/>
        <v/>
      </c>
      <c r="R169" s="11" t="str">
        <f t="shared" si="24"/>
        <v/>
      </c>
      <c r="S169" s="11" t="str">
        <f t="shared" si="24"/>
        <v/>
      </c>
      <c r="T169" s="11" t="str">
        <f t="shared" si="24"/>
        <v/>
      </c>
      <c r="U169" s="11" t="str">
        <f t="shared" si="24"/>
        <v/>
      </c>
      <c r="V169" s="11" t="str">
        <f t="shared" si="24"/>
        <v/>
      </c>
      <c r="W169" s="11" t="str">
        <f t="shared" si="24"/>
        <v/>
      </c>
      <c r="X169" s="11" t="str">
        <f t="shared" si="24"/>
        <v/>
      </c>
    </row>
    <row r="170" spans="2:24" ht="16.5" hidden="1" customHeight="1" thickBot="1">
      <c r="B170" s="82" t="str">
        <f t="shared" si="21"/>
        <v>D 8</v>
      </c>
      <c r="C170" s="1">
        <f t="shared" si="22"/>
        <v>0</v>
      </c>
      <c r="D170" s="1">
        <f t="shared" si="23"/>
        <v>0</v>
      </c>
      <c r="E170" s="143">
        <f t="shared" ca="1" si="23"/>
        <v>0</v>
      </c>
      <c r="F170" s="602">
        <v>0.5</v>
      </c>
      <c r="G170" s="740">
        <f t="shared" si="18"/>
        <v>8.0000000000000002E-3</v>
      </c>
      <c r="H170" s="94">
        <f t="shared" si="20"/>
        <v>40</v>
      </c>
      <c r="I170" s="110" t="s">
        <v>79</v>
      </c>
      <c r="K170" s="87"/>
      <c r="L170" s="87"/>
      <c r="M170" s="11" t="str">
        <f t="shared" si="24"/>
        <v/>
      </c>
      <c r="N170" s="11" t="str">
        <f t="shared" si="24"/>
        <v/>
      </c>
      <c r="O170" s="11" t="str">
        <f t="shared" si="24"/>
        <v/>
      </c>
      <c r="P170" s="11" t="str">
        <f t="shared" si="24"/>
        <v/>
      </c>
      <c r="Q170" s="11" t="str">
        <f t="shared" si="24"/>
        <v/>
      </c>
      <c r="R170" s="11" t="str">
        <f t="shared" si="24"/>
        <v/>
      </c>
      <c r="S170" s="11" t="str">
        <f t="shared" si="24"/>
        <v/>
      </c>
      <c r="T170" s="11" t="str">
        <f t="shared" si="24"/>
        <v/>
      </c>
      <c r="U170" s="11" t="str">
        <f t="shared" si="24"/>
        <v/>
      </c>
      <c r="V170" s="11" t="str">
        <f t="shared" si="24"/>
        <v/>
      </c>
      <c r="W170" s="11" t="str">
        <f t="shared" si="24"/>
        <v/>
      </c>
      <c r="X170" s="11" t="str">
        <f t="shared" si="24"/>
        <v/>
      </c>
    </row>
    <row r="171" spans="2:24" ht="16.5" hidden="1" customHeight="1">
      <c r="B171" s="82" t="s">
        <v>144</v>
      </c>
      <c r="E171" s="96"/>
      <c r="F171" s="96"/>
      <c r="G171" s="96"/>
      <c r="H171" s="113" t="s">
        <v>145</v>
      </c>
      <c r="I171" s="110" t="s">
        <v>79</v>
      </c>
      <c r="K171" s="87"/>
      <c r="L171" s="87"/>
      <c r="M171" s="11"/>
      <c r="N171" s="11"/>
      <c r="O171" s="11"/>
      <c r="P171" s="11"/>
      <c r="Q171" s="11"/>
      <c r="R171" s="11"/>
      <c r="S171" s="11"/>
      <c r="T171" s="11"/>
      <c r="U171" s="11"/>
      <c r="V171" s="11"/>
      <c r="W171" s="11"/>
      <c r="X171" s="11"/>
    </row>
    <row r="172" spans="2:24" ht="16.5" hidden="1" customHeight="1">
      <c r="B172" s="93" t="s">
        <v>143</v>
      </c>
      <c r="H172" s="362" t="s">
        <v>1755</v>
      </c>
      <c r="I172" s="114">
        <f ca="1">SUM(M172:X172)</f>
        <v>265.62982262783999</v>
      </c>
      <c r="K172" s="87"/>
      <c r="L172" s="87"/>
      <c r="M172" s="12">
        <f ca="1">SUM(M149:M170)</f>
        <v>-16.901891900160003</v>
      </c>
      <c r="N172" s="12">
        <f t="shared" ref="N172:X172" ca="1" si="25">SUM(N149:N170)</f>
        <v>-12.779583559680002</v>
      </c>
      <c r="O172" s="12">
        <f t="shared" ca="1" si="25"/>
        <v>13.752823691520003</v>
      </c>
      <c r="P172" s="12">
        <f t="shared" ca="1" si="25"/>
        <v>53.735616115200017</v>
      </c>
      <c r="Q172" s="12">
        <f t="shared" ca="1" si="25"/>
        <v>63.61862564736002</v>
      </c>
      <c r="R172" s="12">
        <f t="shared" ca="1" si="25"/>
        <v>67.824992217600027</v>
      </c>
      <c r="S172" s="12">
        <f t="shared" ca="1" si="25"/>
        <v>60.065277838080007</v>
      </c>
      <c r="T172" s="12">
        <f t="shared" ca="1" si="25"/>
        <v>47.003792993280022</v>
      </c>
      <c r="U172" s="12">
        <f t="shared" ca="1" si="25"/>
        <v>27.487782835200008</v>
      </c>
      <c r="V172" s="12">
        <f t="shared" ca="1" si="25"/>
        <v>8.2598376460800012</v>
      </c>
      <c r="W172" s="12">
        <f t="shared" ca="1" si="25"/>
        <v>-19.375145971200006</v>
      </c>
      <c r="X172" s="12">
        <f t="shared" ca="1" si="25"/>
        <v>-27.062304925440007</v>
      </c>
    </row>
    <row r="173" spans="2:24" ht="6.75" hidden="1" customHeight="1">
      <c r="B173" s="93"/>
      <c r="H173" s="362"/>
      <c r="I173" s="114"/>
      <c r="K173" s="87"/>
      <c r="L173" s="87"/>
      <c r="M173" s="12"/>
      <c r="N173" s="12"/>
      <c r="O173" s="12"/>
      <c r="P173" s="12"/>
      <c r="Q173" s="12"/>
      <c r="R173" s="12"/>
      <c r="S173" s="12"/>
      <c r="T173" s="12"/>
      <c r="U173" s="12"/>
      <c r="V173" s="12"/>
      <c r="W173" s="12"/>
      <c r="X173" s="12"/>
    </row>
    <row r="174" spans="2:24" ht="16.5" customHeight="1">
      <c r="B174" s="106" t="s">
        <v>151</v>
      </c>
      <c r="C174" s="90"/>
      <c r="D174" s="90"/>
      <c r="E174" s="90"/>
      <c r="F174" s="90"/>
      <c r="G174" s="90"/>
      <c r="H174" s="90"/>
      <c r="I174" s="91"/>
      <c r="K174" s="87">
        <f>ROW(B175)</f>
        <v>175</v>
      </c>
      <c r="L174" s="87">
        <f>ROW(B177)</f>
        <v>177</v>
      </c>
      <c r="M174" s="8" t="s">
        <v>800</v>
      </c>
    </row>
    <row r="175" spans="2:24" ht="16.5" hidden="1" customHeight="1">
      <c r="B175" s="82" t="s">
        <v>147</v>
      </c>
      <c r="H175" s="3" t="s">
        <v>148</v>
      </c>
      <c r="I175" s="85"/>
      <c r="K175" s="87"/>
      <c r="L175" s="87"/>
      <c r="M175" s="6" t="s">
        <v>116</v>
      </c>
      <c r="N175" s="6" t="s">
        <v>117</v>
      </c>
      <c r="O175" s="6" t="s">
        <v>118</v>
      </c>
      <c r="P175" s="6" t="s">
        <v>119</v>
      </c>
      <c r="Q175" s="6" t="s">
        <v>120</v>
      </c>
      <c r="R175" s="6" t="s">
        <v>121</v>
      </c>
      <c r="S175" s="6" t="s">
        <v>122</v>
      </c>
      <c r="T175" s="6" t="s">
        <v>123</v>
      </c>
      <c r="U175" s="6" t="s">
        <v>124</v>
      </c>
      <c r="V175" s="6" t="s">
        <v>125</v>
      </c>
      <c r="W175" s="6" t="s">
        <v>126</v>
      </c>
      <c r="X175" s="6" t="s">
        <v>127</v>
      </c>
    </row>
    <row r="176" spans="2:24" ht="16.5" hidden="1" customHeight="1">
      <c r="B176" s="93" t="s">
        <v>146</v>
      </c>
      <c r="H176" s="362" t="s">
        <v>1756</v>
      </c>
      <c r="I176" s="114">
        <f ca="1">SUM(M176:X176)</f>
        <v>9362.1698985600015</v>
      </c>
      <c r="K176" s="87"/>
      <c r="L176" s="87"/>
      <c r="M176" s="12">
        <f t="shared" ref="M176:X176" ca="1" si="26">IF($F$9&gt;0,0.024*$F$9*5*M$307,0)</f>
        <v>795.14319686400006</v>
      </c>
      <c r="N176" s="12">
        <f t="shared" ca="1" si="26"/>
        <v>718.19385523200003</v>
      </c>
      <c r="O176" s="12">
        <f t="shared" ca="1" si="26"/>
        <v>795.14319686400006</v>
      </c>
      <c r="P176" s="12">
        <f t="shared" ca="1" si="26"/>
        <v>769.49341632000005</v>
      </c>
      <c r="Q176" s="12">
        <f t="shared" ca="1" si="26"/>
        <v>795.14319686400006</v>
      </c>
      <c r="R176" s="12">
        <f t="shared" ca="1" si="26"/>
        <v>769.49341632000005</v>
      </c>
      <c r="S176" s="12">
        <f t="shared" ca="1" si="26"/>
        <v>795.14319686400006</v>
      </c>
      <c r="T176" s="12">
        <f t="shared" ca="1" si="26"/>
        <v>795.14319686400006</v>
      </c>
      <c r="U176" s="12">
        <f t="shared" ca="1" si="26"/>
        <v>769.49341632000005</v>
      </c>
      <c r="V176" s="12">
        <f t="shared" ca="1" si="26"/>
        <v>795.14319686400006</v>
      </c>
      <c r="W176" s="12">
        <f t="shared" ca="1" si="26"/>
        <v>769.49341632000005</v>
      </c>
      <c r="X176" s="12">
        <f t="shared" ca="1" si="26"/>
        <v>795.14319686400006</v>
      </c>
    </row>
    <row r="177" spans="2:24" ht="6.75" hidden="1" customHeight="1">
      <c r="B177" s="93"/>
      <c r="H177" s="362"/>
      <c r="I177" s="114"/>
      <c r="K177" s="87"/>
      <c r="L177" s="87"/>
      <c r="M177" s="12"/>
      <c r="N177" s="12"/>
      <c r="O177" s="12"/>
      <c r="P177" s="12"/>
      <c r="Q177" s="12"/>
      <c r="R177" s="12"/>
      <c r="S177" s="12"/>
      <c r="T177" s="12"/>
      <c r="U177" s="12"/>
      <c r="V177" s="12"/>
      <c r="W177" s="12"/>
      <c r="X177" s="12"/>
    </row>
    <row r="178" spans="2:24" ht="16.5" customHeight="1">
      <c r="B178" s="89" t="s">
        <v>158</v>
      </c>
      <c r="C178" s="90"/>
      <c r="D178" s="90"/>
      <c r="E178" s="90"/>
      <c r="F178" s="90"/>
      <c r="G178" s="90"/>
      <c r="H178" s="90"/>
      <c r="I178" s="91"/>
      <c r="K178" s="87">
        <f>ROW(B179)</f>
        <v>179</v>
      </c>
      <c r="L178" s="87">
        <f>ROW(B188)</f>
        <v>188</v>
      </c>
    </row>
    <row r="179" spans="2:24" ht="16.5" hidden="1" customHeight="1">
      <c r="B179" s="82"/>
      <c r="F179" s="3" t="s">
        <v>68</v>
      </c>
      <c r="G179" s="1213" t="str">
        <f>Gebaeude!$G$179</f>
        <v>schwere Bauweise</v>
      </c>
      <c r="H179" s="1202"/>
      <c r="I179" s="1203"/>
      <c r="K179" s="87"/>
      <c r="L179" s="87"/>
    </row>
    <row r="180" spans="2:24" ht="16.5" hidden="1" customHeight="1">
      <c r="B180" s="82" t="s">
        <v>152</v>
      </c>
      <c r="D180" s="1" t="s">
        <v>153</v>
      </c>
      <c r="F180" s="1" t="s">
        <v>1766</v>
      </c>
      <c r="H180" s="3" t="s">
        <v>1771</v>
      </c>
      <c r="I180" s="363" t="str">
        <f>IF($G$179=D180,15,"")</f>
        <v/>
      </c>
      <c r="K180" s="87"/>
      <c r="L180" s="87"/>
      <c r="M180" s="130"/>
      <c r="N180" s="131"/>
      <c r="S180" s="3"/>
    </row>
    <row r="181" spans="2:24" ht="16.5" hidden="1" customHeight="1">
      <c r="B181" s="82"/>
      <c r="D181" s="1" t="s">
        <v>154</v>
      </c>
      <c r="F181" s="1" t="s">
        <v>1766</v>
      </c>
      <c r="H181" s="3" t="s">
        <v>1763</v>
      </c>
      <c r="I181" s="363">
        <f>IF($G$179=D181,50,"")</f>
        <v>50</v>
      </c>
      <c r="K181" s="87"/>
      <c r="L181" s="87"/>
      <c r="M181" s="132"/>
      <c r="N181" s="131"/>
      <c r="S181" s="3"/>
    </row>
    <row r="182" spans="2:24" ht="16.5" hidden="1" customHeight="1">
      <c r="B182" s="82"/>
      <c r="D182" s="1" t="s">
        <v>155</v>
      </c>
      <c r="F182" s="1" t="s">
        <v>1766</v>
      </c>
      <c r="H182" s="3" t="s">
        <v>1764</v>
      </c>
      <c r="I182" s="598">
        <f>Gebaeude!$I$182</f>
        <v>60</v>
      </c>
      <c r="K182" s="87"/>
      <c r="L182" s="87"/>
      <c r="M182" s="132"/>
      <c r="N182" s="131"/>
      <c r="S182" s="116"/>
    </row>
    <row r="183" spans="2:24" ht="16.5" hidden="1" customHeight="1">
      <c r="B183" s="82"/>
      <c r="F183" s="1" t="s">
        <v>1767</v>
      </c>
      <c r="H183" s="3" t="s">
        <v>1765</v>
      </c>
      <c r="I183" s="115">
        <f ca="1">VLOOKUP($G$179,D180:I182,6,FALSE)*$F$7</f>
        <v>33398.151749999997</v>
      </c>
      <c r="K183" s="87"/>
      <c r="L183" s="87"/>
      <c r="M183" s="132"/>
      <c r="N183" s="131"/>
    </row>
    <row r="184" spans="2:24" ht="16.5" hidden="1" customHeight="1">
      <c r="B184" s="82" t="s">
        <v>157</v>
      </c>
      <c r="D184" s="1" t="s">
        <v>153</v>
      </c>
      <c r="F184" s="1" t="s">
        <v>1766</v>
      </c>
      <c r="H184" s="3" t="s">
        <v>1770</v>
      </c>
      <c r="I184" s="363" t="str">
        <f>IF($G$179=D184,13,"")</f>
        <v/>
      </c>
      <c r="K184" s="87"/>
      <c r="L184" s="87"/>
      <c r="M184" s="130"/>
      <c r="N184" s="131"/>
      <c r="S184" s="3"/>
    </row>
    <row r="185" spans="2:24" ht="16.5" hidden="1" customHeight="1">
      <c r="B185" s="82"/>
      <c r="D185" s="1" t="s">
        <v>154</v>
      </c>
      <c r="F185" s="1" t="s">
        <v>1766</v>
      </c>
      <c r="H185" s="3" t="s">
        <v>1772</v>
      </c>
      <c r="I185" s="363">
        <f>IF($G$179=D185,18,"")</f>
        <v>18</v>
      </c>
      <c r="K185" s="87"/>
      <c r="L185" s="87"/>
      <c r="M185" s="129"/>
      <c r="N185" s="131"/>
      <c r="S185" s="3"/>
    </row>
    <row r="186" spans="2:24" ht="16.5" hidden="1" customHeight="1">
      <c r="B186" s="82"/>
      <c r="D186" s="1" t="s">
        <v>155</v>
      </c>
      <c r="F186" s="1" t="s">
        <v>1766</v>
      </c>
      <c r="H186" s="3" t="s">
        <v>1768</v>
      </c>
      <c r="I186" s="598">
        <f>Gebaeude!$I$186</f>
        <v>20</v>
      </c>
      <c r="K186" s="87"/>
      <c r="L186" s="87"/>
      <c r="N186" s="11"/>
    </row>
    <row r="187" spans="2:24" ht="16.5" hidden="1" customHeight="1">
      <c r="B187" s="82"/>
      <c r="F187" s="1" t="s">
        <v>1767</v>
      </c>
      <c r="H187" s="3" t="s">
        <v>1769</v>
      </c>
      <c r="I187" s="115">
        <f ca="1">VLOOKUP($G$179,D184:I186,6,FALSE)*$F$7</f>
        <v>12023.334629999999</v>
      </c>
      <c r="K187" s="87"/>
      <c r="L187" s="87"/>
      <c r="N187" s="11"/>
    </row>
    <row r="188" spans="2:24" ht="6.75" hidden="1" customHeight="1">
      <c r="B188" s="117"/>
      <c r="C188" s="86"/>
      <c r="D188" s="86"/>
      <c r="E188" s="86"/>
      <c r="F188" s="86"/>
      <c r="G188" s="86"/>
      <c r="H188" s="108"/>
      <c r="I188" s="121"/>
      <c r="K188" s="87"/>
      <c r="L188" s="87"/>
      <c r="N188" s="11"/>
    </row>
    <row r="189" spans="2:24" ht="16.5" customHeight="1">
      <c r="B189" s="89" t="s">
        <v>159</v>
      </c>
      <c r="C189" s="90"/>
      <c r="D189" s="90"/>
      <c r="E189" s="90"/>
      <c r="F189" s="90"/>
      <c r="G189" s="90"/>
      <c r="H189" s="90"/>
      <c r="I189" s="91"/>
      <c r="K189" s="87">
        <f>ROW(B190)</f>
        <v>190</v>
      </c>
      <c r="L189" s="87">
        <f>ROW(B200)</f>
        <v>200</v>
      </c>
      <c r="M189" s="8" t="s">
        <v>799</v>
      </c>
    </row>
    <row r="190" spans="2:24" ht="16.5" hidden="1" customHeight="1">
      <c r="B190" s="82" t="s">
        <v>160</v>
      </c>
      <c r="H190" s="3" t="s">
        <v>1757</v>
      </c>
      <c r="I190" s="115">
        <f ca="1">SUM(M190:X190)</f>
        <v>21792.806529834586</v>
      </c>
      <c r="K190" s="87"/>
      <c r="L190" s="87" t="s">
        <v>313</v>
      </c>
      <c r="M190" s="9">
        <f t="shared" ref="M190:X190" ca="1" si="27">M110+M125</f>
        <v>3523.7282073740071</v>
      </c>
      <c r="N190" s="9">
        <f t="shared" ca="1" si="27"/>
        <v>3023.5861392305997</v>
      </c>
      <c r="O190" s="9">
        <f t="shared" ca="1" si="27"/>
        <v>2799.4062980804611</v>
      </c>
      <c r="P190" s="9">
        <f t="shared" ca="1" si="27"/>
        <v>1856.5879802293155</v>
      </c>
      <c r="Q190" s="9">
        <f t="shared" ca="1" si="27"/>
        <v>959.23712311847976</v>
      </c>
      <c r="R190" s="9">
        <f t="shared" ca="1" si="27"/>
        <v>435.72983209463541</v>
      </c>
      <c r="S190" s="9">
        <f t="shared" ca="1" si="27"/>
        <v>0</v>
      </c>
      <c r="T190" s="9">
        <f t="shared" ca="1" si="27"/>
        <v>78.305071274977649</v>
      </c>
      <c r="U190" s="9">
        <f t="shared" ca="1" si="27"/>
        <v>890.40443949773294</v>
      </c>
      <c r="V190" s="9">
        <f t="shared" ca="1" si="27"/>
        <v>1859.7454427807261</v>
      </c>
      <c r="W190" s="9">
        <f t="shared" ca="1" si="27"/>
        <v>2822.7715209608982</v>
      </c>
      <c r="X190" s="9">
        <f t="shared" ca="1" si="27"/>
        <v>3543.3044751927519</v>
      </c>
    </row>
    <row r="191" spans="2:24" ht="16.5" hidden="1" customHeight="1">
      <c r="B191" s="82" t="s">
        <v>161</v>
      </c>
      <c r="H191" s="3" t="s">
        <v>1758</v>
      </c>
      <c r="I191" s="115">
        <f ca="1">SUM(M191:X191)</f>
        <v>21058.354613620671</v>
      </c>
      <c r="K191" s="87"/>
      <c r="L191" s="87" t="s">
        <v>312</v>
      </c>
      <c r="M191" s="9">
        <f ca="1">IF($F$9&gt;0,_xludf.nA($I$187,7,VLOOKUP($G$116,$C$117:$I$121,7,FALSE),VLOOKUP($G$113,$C$114:$I$115,7,FALSE),gAN,$I$107,SUM($I$32:$I$41,$I$55:$I$58,$I$90:$I$91),MONTH((DATEVALUE("1. "&amp;M4))),$M$306:$X$306),0)</f>
        <v>3398.924036822762</v>
      </c>
      <c r="N191" s="9">
        <f ca="1">IF($F$9&gt;0,_xludf.nA($I$187,7,VLOOKUP($G$116,$C$117:$I$121,7,FALSE),VLOOKUP($G$113,$C$114:$I$115,7,FALSE),gAN,$I$107,SUM($I$32:$I$41,$I$55:$I$58,$I$90:$I$91),MONTH((DATEVALUE("1. "&amp;N4))),$M$306:$X$306),0)</f>
        <v>2918.6710013177653</v>
      </c>
      <c r="O191" s="9">
        <f ca="1">IF($F$9&gt;0,_xludf.nA($I$187,7,VLOOKUP($G$116,$C$117:$I$121,7,FALSE),VLOOKUP($G$113,$C$114:$I$115,7,FALSE),gAN,$I$107,SUM($I$32:$I$41,$I$55:$I$58,$I$90:$I$91),MONTH((DATEVALUE("1. "&amp;O4))),$M$306:$X$306),0)</f>
        <v>2707.2508724399659</v>
      </c>
      <c r="P191" s="9">
        <f ca="1">IF($F$9&gt;0,_xludf.nA($I$187,7,VLOOKUP($G$116,$C$117:$I$121,7,FALSE),VLOOKUP($G$113,$C$114:$I$115,7,FALSE),gAN,$I$107,SUM($I$32:$I$41,$I$55:$I$58,$I$90:$I$91),MONTH((DATEVALUE("1. "&amp;P4))),$M$306:$X$306),0)</f>
        <v>1797.6698031480971</v>
      </c>
      <c r="Q191" s="9">
        <f ca="1">IF($F$9&gt;0,_xludf.nA($I$187,7,VLOOKUP($G$116,$C$117:$I$121,7,FALSE),VLOOKUP($G$113,$C$114:$I$115,7,FALSE),gAN,$I$107,SUM($I$32:$I$41,$I$55:$I$58,$I$90:$I$91),MONTH((DATEVALUE("1. "&amp;Q4))),$M$306:$X$306),0)</f>
        <v>928.79606495984956</v>
      </c>
      <c r="R191" s="9">
        <f ca="1">IF($F$9&gt;0,_xludf.nA($I$187,7,VLOOKUP($G$116,$C$117:$I$121,7,FALSE),VLOOKUP($G$113,$C$114:$I$115,7,FALSE),gAN,$I$107,SUM($I$32:$I$41,$I$55:$I$58,$I$90:$I$91),MONTH((DATEVALUE("1. "&amp;R4))),$M$306:$X$306),0)</f>
        <v>421.90209665720641</v>
      </c>
      <c r="S191" s="9">
        <f ca="1">IF($F$9&gt;0,_xludf.nA($I$187,7,VLOOKUP($G$116,$C$117:$I$121,7,FALSE),VLOOKUP($G$113,$C$114:$I$115,7,FALSE),gAN,$I$107,SUM($I$32:$I$41,$I$55:$I$58,$I$90:$I$91),MONTH((DATEVALUE("1. "&amp;S4))),$M$306:$X$306),0)</f>
        <v>0</v>
      </c>
      <c r="T191" s="9">
        <f ca="1">IF($F$9&gt;0,_xludf.nA($I$187,7,VLOOKUP($G$116,$C$117:$I$121,7,FALSE),VLOOKUP($G$113,$C$114:$I$115,7,FALSE),gAN,$I$107,SUM($I$32:$I$41,$I$55:$I$58,$I$90:$I$91),MONTH((DATEVALUE("1. "&amp;T4))),$M$306:$X$306),0)</f>
        <v>75.820086935497585</v>
      </c>
      <c r="U191" s="9">
        <f ca="1">IF($F$9&gt;0,_xludf.nA($I$187,7,VLOOKUP($G$116,$C$117:$I$121,7,FALSE),VLOOKUP($G$113,$C$114:$I$115,7,FALSE),gAN,$I$107,SUM($I$32:$I$41,$I$55:$I$58,$I$90:$I$91),MONTH((DATEVALUE("1. "&amp;U4))),$M$306:$X$306),0)</f>
        <v>862.1477627342914</v>
      </c>
      <c r="V191" s="9">
        <f ca="1">IF($F$9&gt;0,_xludf.nA($I$187,7,VLOOKUP($G$116,$C$117:$I$121,7,FALSE),VLOOKUP($G$113,$C$114:$I$115,7,FALSE),gAN,$I$107,SUM($I$32:$I$41,$I$55:$I$58,$I$90:$I$91),MONTH((DATEVALUE("1. "&amp;V4))),$M$306:$X$306),0)</f>
        <v>1800.7270647180774</v>
      </c>
      <c r="W191" s="9">
        <f ca="1">IF($F$9&gt;0,_xludf.nA($I$187,7,VLOOKUP($G$116,$C$117:$I$121,7,FALSE),VLOOKUP($G$113,$C$114:$I$115,7,FALSE),gAN,$I$107,SUM($I$32:$I$41,$I$55:$I$58,$I$90:$I$91),MONTH((DATEVALUE("1. "&amp;W4))),$M$306:$X$306),0)</f>
        <v>2728.9378507716274</v>
      </c>
      <c r="X191" s="9">
        <f ca="1">IF($F$9&gt;0,_xludf.nA($I$187,7,VLOOKUP($G$116,$C$117:$I$121,7,FALSE),VLOOKUP($G$113,$C$114:$I$115,7,FALSE),gAN,$I$107,SUM($I$32:$I$41,$I$55:$I$58,$I$90:$I$91),MONTH((DATEVALUE("1. "&amp;X4))),$M$306:$X$306),0)</f>
        <v>3417.5079731155301</v>
      </c>
    </row>
    <row r="192" spans="2:24" ht="16.5" hidden="1" customHeight="1">
      <c r="B192" s="82" t="s">
        <v>2620</v>
      </c>
      <c r="H192" s="3" t="s">
        <v>2621</v>
      </c>
      <c r="I192" s="115">
        <f ca="1">SUM(M192:X192)</f>
        <v>20792.72479099283</v>
      </c>
      <c r="K192" s="87"/>
      <c r="L192" s="87" t="s">
        <v>320</v>
      </c>
      <c r="M192" s="9">
        <f ca="1">M191-M172</f>
        <v>3415.8259287229221</v>
      </c>
      <c r="N192" s="9">
        <f t="shared" ref="N192:X192" ca="1" si="28">N191-N172</f>
        <v>2931.4505848774452</v>
      </c>
      <c r="O192" s="9">
        <f t="shared" ca="1" si="28"/>
        <v>2693.4980487484459</v>
      </c>
      <c r="P192" s="9">
        <f t="shared" ca="1" si="28"/>
        <v>1743.9341870328972</v>
      </c>
      <c r="Q192" s="9">
        <f t="shared" ca="1" si="28"/>
        <v>865.17743931248958</v>
      </c>
      <c r="R192" s="9">
        <f t="shared" ca="1" si="28"/>
        <v>354.07710443960639</v>
      </c>
      <c r="S192" s="9">
        <f t="shared" ca="1" si="28"/>
        <v>-60.065277838080007</v>
      </c>
      <c r="T192" s="9">
        <f t="shared" ca="1" si="28"/>
        <v>28.816293942217563</v>
      </c>
      <c r="U192" s="9">
        <f t="shared" ca="1" si="28"/>
        <v>834.65997989909135</v>
      </c>
      <c r="V192" s="9">
        <f t="shared" ca="1" si="28"/>
        <v>1792.4672270719973</v>
      </c>
      <c r="W192" s="9">
        <f t="shared" ca="1" si="28"/>
        <v>2748.3129967428272</v>
      </c>
      <c r="X192" s="9">
        <f t="shared" ca="1" si="28"/>
        <v>3444.5702780409702</v>
      </c>
    </row>
    <row r="193" spans="2:25" ht="16.5" hidden="1" customHeight="1">
      <c r="B193" s="82" t="s">
        <v>2371</v>
      </c>
      <c r="H193" s="3" t="s">
        <v>2619</v>
      </c>
      <c r="I193" s="115">
        <f ca="1">SUM(M193:X193)</f>
        <v>17258.284946304</v>
      </c>
      <c r="K193" s="87"/>
      <c r="L193" s="87" t="s">
        <v>315</v>
      </c>
      <c r="M193" s="9">
        <f ca="1">M144+M176</f>
        <v>1073.231304336</v>
      </c>
      <c r="N193" s="9">
        <f t="shared" ref="N193:X193" ca="1" si="29">N144+N176</f>
        <v>971.93983622400003</v>
      </c>
      <c r="O193" s="9">
        <f t="shared" ca="1" si="29"/>
        <v>1402.7055603840001</v>
      </c>
      <c r="P193" s="9">
        <f t="shared" ca="1" si="29"/>
        <v>1782.0625190400001</v>
      </c>
      <c r="Q193" s="9">
        <f t="shared" ca="1" si="29"/>
        <v>1863.857138544</v>
      </c>
      <c r="R193" s="9">
        <f t="shared" ca="1" si="29"/>
        <v>1839.00220128</v>
      </c>
      <c r="S193" s="9">
        <f t="shared" ca="1" si="29"/>
        <v>1801.6556509440002</v>
      </c>
      <c r="T193" s="9">
        <f t="shared" ca="1" si="29"/>
        <v>1724.72829336</v>
      </c>
      <c r="U193" s="9">
        <f t="shared" ca="1" si="29"/>
        <v>1514.3068843200001</v>
      </c>
      <c r="V193" s="9">
        <f t="shared" ca="1" si="29"/>
        <v>1362.210683472</v>
      </c>
      <c r="W193" s="9">
        <f t="shared" ca="1" si="29"/>
        <v>981.74719008000011</v>
      </c>
      <c r="X193" s="9">
        <f t="shared" ca="1" si="29"/>
        <v>940.83768432000011</v>
      </c>
    </row>
    <row r="194" spans="2:25" ht="16.5" hidden="1" customHeight="1">
      <c r="B194" s="82" t="s">
        <v>162</v>
      </c>
      <c r="H194" s="3" t="s">
        <v>2622</v>
      </c>
      <c r="I194" s="110" t="s">
        <v>79</v>
      </c>
      <c r="K194" s="87"/>
      <c r="L194" s="87" t="s">
        <v>311</v>
      </c>
      <c r="M194" s="11">
        <f ca="1">IF((M192)&gt;0,(M193)/(M192),0)</f>
        <v>0.31419379287200677</v>
      </c>
      <c r="N194" s="11">
        <f t="shared" ref="N194:X194" ca="1" si="30">IF((N192)&gt;0,(N193)/(N192),0)</f>
        <v>0.33155593385676457</v>
      </c>
      <c r="O194" s="11">
        <f t="shared" ca="1" si="30"/>
        <v>0.52077467107718078</v>
      </c>
      <c r="P194" s="11">
        <f t="shared" ca="1" si="30"/>
        <v>1.0218634007467757</v>
      </c>
      <c r="Q194" s="11">
        <f t="shared" ca="1" si="30"/>
        <v>2.1543062195716844</v>
      </c>
      <c r="R194" s="11">
        <f t="shared" ca="1" si="30"/>
        <v>5.1937902175023911</v>
      </c>
      <c r="S194" s="11">
        <f t="shared" ca="1" si="30"/>
        <v>0</v>
      </c>
      <c r="T194" s="11">
        <f t="shared" ca="1" si="30"/>
        <v>59.852536791109415</v>
      </c>
      <c r="U194" s="11">
        <f t="shared" ca="1" si="30"/>
        <v>1.8142799712322095</v>
      </c>
      <c r="V194" s="11">
        <f t="shared" ca="1" si="30"/>
        <v>0.75996406678920259</v>
      </c>
      <c r="W194" s="11">
        <f t="shared" ca="1" si="30"/>
        <v>0.35721811571080925</v>
      </c>
      <c r="X194" s="11">
        <f t="shared" ca="1" si="30"/>
        <v>0.27313644616799126</v>
      </c>
    </row>
    <row r="195" spans="2:25" ht="16.5" hidden="1" customHeight="1">
      <c r="B195" s="82" t="s">
        <v>175</v>
      </c>
      <c r="H195" s="3" t="s">
        <v>1759</v>
      </c>
      <c r="I195" s="398">
        <f ca="1">IF($F$7&gt;0,1+$I$183/(I107+I122)/16,0)</f>
        <v>8.9331467609365909</v>
      </c>
      <c r="K195" s="87"/>
      <c r="L195" s="87"/>
      <c r="M195" s="11"/>
      <c r="N195" s="11"/>
      <c r="O195" s="11"/>
      <c r="P195" s="11"/>
      <c r="Q195" s="11"/>
      <c r="R195" s="11"/>
      <c r="S195" s="11"/>
      <c r="T195" s="11"/>
      <c r="U195" s="11"/>
      <c r="V195" s="11"/>
      <c r="W195" s="11"/>
      <c r="X195" s="11"/>
    </row>
    <row r="196" spans="2:25" ht="16.5" hidden="1" customHeight="1">
      <c r="B196" s="82" t="s">
        <v>163</v>
      </c>
      <c r="H196" s="3" t="s">
        <v>1900</v>
      </c>
      <c r="I196" s="110" t="s">
        <v>79</v>
      </c>
      <c r="K196" s="87"/>
      <c r="L196" s="87" t="s">
        <v>310</v>
      </c>
      <c r="M196" s="11">
        <f t="shared" ref="M196:X196" ca="1" si="31">IF($F$7&lt;=0,0,IF(M194=1,$I$195/($I$195+1),IF(M194=0,0,(1-M194^$I$195)/(1-M194^($I$195+1)))))</f>
        <v>0.9999778895190965</v>
      </c>
      <c r="N196" s="11">
        <f t="shared" ca="1" si="31"/>
        <v>0.99996515534628516</v>
      </c>
      <c r="O196" s="11">
        <f t="shared" ca="1" si="31"/>
        <v>0.99858747075423626</v>
      </c>
      <c r="P196" s="11">
        <f t="shared" ca="1" si="31"/>
        <v>0.88932727639609355</v>
      </c>
      <c r="Q196" s="11">
        <f t="shared" ca="1" si="31"/>
        <v>0.46392448287877819</v>
      </c>
      <c r="R196" s="11">
        <f t="shared" ca="1" si="31"/>
        <v>0.19253755549089199</v>
      </c>
      <c r="S196" s="11">
        <f t="shared" ca="1" si="31"/>
        <v>0</v>
      </c>
      <c r="T196" s="11">
        <f t="shared" ca="1" si="31"/>
        <v>1.6707729590311079E-2</v>
      </c>
      <c r="U196" s="11">
        <f t="shared" ca="1" si="31"/>
        <v>0.54997087456909177</v>
      </c>
      <c r="V196" s="11">
        <f t="shared" ca="1" si="31"/>
        <v>0.9778802643590947</v>
      </c>
      <c r="W196" s="11">
        <f t="shared" ca="1" si="31"/>
        <v>0.99993478184755547</v>
      </c>
      <c r="X196" s="11">
        <f t="shared" ca="1" si="31"/>
        <v>0.99999329265379722</v>
      </c>
    </row>
    <row r="197" spans="2:25" ht="16.5" hidden="1" customHeight="1">
      <c r="B197" s="82"/>
      <c r="H197" s="3" t="s">
        <v>1901</v>
      </c>
      <c r="I197" s="110"/>
      <c r="K197" s="87"/>
      <c r="L197" s="87"/>
      <c r="M197" s="11"/>
      <c r="N197" s="11"/>
      <c r="O197" s="11"/>
      <c r="P197" s="11"/>
      <c r="Q197" s="11"/>
      <c r="R197" s="11"/>
      <c r="S197" s="11"/>
      <c r="T197" s="11"/>
      <c r="U197" s="11"/>
      <c r="V197" s="11"/>
      <c r="W197" s="11"/>
      <c r="X197" s="11"/>
    </row>
    <row r="198" spans="2:25" ht="16.5" hidden="1" customHeight="1">
      <c r="B198" s="93" t="s">
        <v>164</v>
      </c>
      <c r="H198" s="3" t="s">
        <v>1899</v>
      </c>
      <c r="I198" s="114">
        <f ca="1">SUM(M198:X198)</f>
        <v>10487.115118238169</v>
      </c>
      <c r="K198" s="87"/>
      <c r="L198" s="87" t="s">
        <v>314</v>
      </c>
      <c r="M198" s="9">
        <f ca="1">MAX(0,M191-M172-M196*(M144+M176))</f>
        <v>2342.6183540471816</v>
      </c>
      <c r="N198" s="9">
        <f t="shared" ref="N198:X198" ca="1" si="32">MAX(0,N191-N172-N196*(N144+N176))</f>
        <v>1959.54461556047</v>
      </c>
      <c r="O198" s="9">
        <f t="shared" ca="1" si="32"/>
        <v>1292.7738509916835</v>
      </c>
      <c r="P198" s="9">
        <f t="shared" ca="1" si="32"/>
        <v>159.09738060749237</v>
      </c>
      <c r="Q198" s="9">
        <f t="shared" ca="1" si="32"/>
        <v>0.48848015354519703</v>
      </c>
      <c r="R198" s="9">
        <f t="shared" ca="1" si="32"/>
        <v>1.1606278587805718E-4</v>
      </c>
      <c r="S198" s="9">
        <f t="shared" ca="1" si="32"/>
        <v>0</v>
      </c>
      <c r="T198" s="9">
        <f t="shared" ca="1" si="32"/>
        <v>0</v>
      </c>
      <c r="U198" s="9">
        <f t="shared" ca="1" si="32"/>
        <v>1.8352983636243607</v>
      </c>
      <c r="V198" s="9">
        <f t="shared" ca="1" si="32"/>
        <v>460.38828380561472</v>
      </c>
      <c r="W198" s="9">
        <f t="shared" ca="1" si="32"/>
        <v>1766.6298344007319</v>
      </c>
      <c r="X198" s="9">
        <f t="shared" ca="1" si="32"/>
        <v>2503.7389042450395</v>
      </c>
    </row>
    <row r="199" spans="2:25" ht="16.5" hidden="1" customHeight="1">
      <c r="B199" s="93" t="s">
        <v>165</v>
      </c>
      <c r="H199" s="3" t="s">
        <v>1760</v>
      </c>
      <c r="I199" s="114">
        <f ca="1">IF($F$9&gt;0,I198/$F$9,0)</f>
        <v>49.062946641192916</v>
      </c>
      <c r="K199" s="87"/>
      <c r="L199" s="87" t="s">
        <v>384</v>
      </c>
      <c r="M199" s="87" t="s">
        <v>384</v>
      </c>
      <c r="N199" s="87" t="s">
        <v>384</v>
      </c>
      <c r="O199" s="87" t="s">
        <v>384</v>
      </c>
      <c r="P199" s="87" t="s">
        <v>384</v>
      </c>
      <c r="Q199" s="87" t="s">
        <v>384</v>
      </c>
      <c r="R199" s="87" t="s">
        <v>384</v>
      </c>
      <c r="S199" s="87" t="s">
        <v>384</v>
      </c>
      <c r="T199" s="87" t="s">
        <v>384</v>
      </c>
      <c r="U199" s="87" t="s">
        <v>384</v>
      </c>
      <c r="V199" s="87" t="s">
        <v>384</v>
      </c>
      <c r="W199" s="87" t="s">
        <v>384</v>
      </c>
      <c r="X199" s="87" t="s">
        <v>384</v>
      </c>
      <c r="Y199" s="87" t="s">
        <v>384</v>
      </c>
    </row>
    <row r="200" spans="2:25" ht="6.75" hidden="1" customHeight="1">
      <c r="B200" s="93"/>
      <c r="H200" s="3"/>
      <c r="I200" s="114"/>
      <c r="K200" s="87"/>
      <c r="L200" s="87"/>
      <c r="M200" s="87"/>
      <c r="N200" s="87"/>
      <c r="O200" s="87"/>
      <c r="P200" s="87"/>
      <c r="Q200" s="87"/>
      <c r="R200" s="87"/>
      <c r="S200" s="87"/>
      <c r="T200" s="87"/>
      <c r="U200" s="87"/>
      <c r="V200" s="87"/>
      <c r="W200" s="87"/>
      <c r="X200" s="87"/>
      <c r="Y200" s="87"/>
    </row>
    <row r="201" spans="2:25" ht="16.5" customHeight="1">
      <c r="B201" s="89" t="s">
        <v>58</v>
      </c>
      <c r="C201" s="90"/>
      <c r="D201" s="90"/>
      <c r="E201" s="90"/>
      <c r="F201" s="90"/>
      <c r="G201" s="90"/>
      <c r="H201" s="90"/>
      <c r="I201" s="91"/>
      <c r="K201" s="87">
        <f>ROW(B202)</f>
        <v>202</v>
      </c>
      <c r="L201" s="87">
        <f>ROW(B204)</f>
        <v>204</v>
      </c>
    </row>
    <row r="202" spans="2:25" ht="16.5" customHeight="1">
      <c r="B202" s="82" t="s">
        <v>697</v>
      </c>
      <c r="I202" s="85"/>
      <c r="K202" s="87"/>
      <c r="L202" s="87"/>
    </row>
    <row r="203" spans="2:25" ht="15.6">
      <c r="B203" s="112"/>
      <c r="H203" s="3" t="s">
        <v>1761</v>
      </c>
      <c r="I203" s="853">
        <f ca="1">IF(F97&gt;0,I107/F97,0)</f>
        <v>0.36105298479331505</v>
      </c>
      <c r="K203" s="87"/>
      <c r="L203" s="87"/>
    </row>
    <row r="204" spans="2:25" ht="6.75" customHeight="1">
      <c r="B204" s="93"/>
      <c r="H204" s="3"/>
      <c r="I204" s="363"/>
      <c r="K204" s="87"/>
      <c r="L204" s="87"/>
      <c r="M204" s="129"/>
    </row>
    <row r="205" spans="2:25" ht="16.5" customHeight="1">
      <c r="B205" s="89" t="s">
        <v>2997</v>
      </c>
      <c r="C205" s="90"/>
      <c r="D205" s="90"/>
      <c r="E205" s="90"/>
      <c r="F205" s="90"/>
      <c r="G205" s="90"/>
      <c r="H205" s="90"/>
      <c r="I205" s="91"/>
      <c r="K205" s="87">
        <f>ROW(B206)</f>
        <v>206</v>
      </c>
      <c r="L205" s="87">
        <f>ROW(B220)</f>
        <v>220</v>
      </c>
      <c r="M205" s="129"/>
    </row>
    <row r="206" spans="2:25" ht="16.5" hidden="1" customHeight="1">
      <c r="B206" s="82" t="s">
        <v>176</v>
      </c>
      <c r="F206" s="3" t="s">
        <v>68</v>
      </c>
      <c r="G206" s="1213" t="s">
        <v>2513</v>
      </c>
      <c r="H206" s="1202"/>
      <c r="I206" s="1203"/>
      <c r="K206" s="87"/>
      <c r="L206" s="87"/>
      <c r="M206" s="130"/>
    </row>
    <row r="207" spans="2:25" ht="16.5" hidden="1" customHeight="1">
      <c r="B207" s="112"/>
      <c r="C207" s="1" t="s">
        <v>2513</v>
      </c>
      <c r="F207" s="3"/>
      <c r="G207" s="3"/>
      <c r="I207" s="401">
        <f ca="1">I209</f>
        <v>1.1364783569144707</v>
      </c>
      <c r="J207" s="5"/>
      <c r="K207" s="87"/>
      <c r="L207" s="161"/>
    </row>
    <row r="208" spans="2:25" ht="16.5" hidden="1" customHeight="1">
      <c r="B208" s="112"/>
      <c r="C208" s="3" t="s">
        <v>68</v>
      </c>
      <c r="D208" s="1213" t="str">
        <f ca="1">AnlageReferenz(gAN)</f>
        <v>Anlage 9 - Referenz GEG2020 - BW-Kessel, Abluftanlage, kleine Solaranlage (bis 500 m²)</v>
      </c>
      <c r="E208" s="1202"/>
      <c r="F208" s="1202"/>
      <c r="G208" s="1202"/>
      <c r="H208" s="1202"/>
      <c r="I208" s="1203"/>
      <c r="K208" s="87"/>
      <c r="L208" s="162"/>
      <c r="O208" s="5"/>
    </row>
    <row r="209" spans="2:29" ht="16.5" hidden="1" customHeight="1">
      <c r="B209" s="112"/>
      <c r="C209" s="3"/>
      <c r="D209" s="1" t="s">
        <v>196</v>
      </c>
      <c r="H209" s="3" t="s">
        <v>198</v>
      </c>
      <c r="I209" s="114">
        <f ca="1">IF(C207=G206,RechAnlageCode(INDEX(Technik!O185:O196,MATCH(D208,listTechnikMusteranlageLang,0)),gAN,$I$199,"eP"),"")</f>
        <v>1.1364783569144707</v>
      </c>
      <c r="K209" s="87"/>
      <c r="L209" s="162"/>
      <c r="O209" s="5"/>
    </row>
    <row r="210" spans="2:29" ht="16.5" hidden="1" customHeight="1">
      <c r="B210" s="112"/>
      <c r="C210" s="1" t="s">
        <v>185</v>
      </c>
      <c r="F210" s="1" t="s">
        <v>1637</v>
      </c>
      <c r="I210" s="401" t="str">
        <f>I211</f>
        <v/>
      </c>
      <c r="K210" s="87"/>
      <c r="L210" s="162"/>
    </row>
    <row r="211" spans="2:29" ht="16.5" hidden="1" customHeight="1">
      <c r="B211" s="112"/>
      <c r="D211" s="120" t="str">
        <f>IF(G206=C210,Technik!D9,"nicht ausgewählt")</f>
        <v>nicht ausgewählt</v>
      </c>
      <c r="H211" s="3" t="s">
        <v>198</v>
      </c>
      <c r="I211" s="114" t="str">
        <f>IF(C210=G206,Technik!G40,"")</f>
        <v/>
      </c>
      <c r="K211" s="87"/>
      <c r="L211" s="162"/>
      <c r="AA211" s="583" t="str">
        <f>C207</f>
        <v>Musteranlage</v>
      </c>
    </row>
    <row r="212" spans="2:29" ht="16.5" hidden="1" customHeight="1">
      <c r="B212" s="112"/>
      <c r="C212" s="1" t="s">
        <v>200</v>
      </c>
      <c r="G212" s="1" t="s">
        <v>199</v>
      </c>
      <c r="I212" s="85"/>
      <c r="K212" s="87"/>
      <c r="L212" s="162"/>
      <c r="AA212" s="584" t="str">
        <f>C210</f>
        <v>Berechnung gemäß Tabellenverfahren</v>
      </c>
    </row>
    <row r="213" spans="2:29" ht="16.5" hidden="1" customHeight="1" thickBot="1">
      <c r="B213" s="112"/>
      <c r="D213" s="1" t="s">
        <v>196</v>
      </c>
      <c r="H213" s="3" t="s">
        <v>198</v>
      </c>
      <c r="I213" s="603">
        <f>Gebaeude!$I$216</f>
        <v>1.07</v>
      </c>
      <c r="K213" s="87"/>
      <c r="L213" s="162"/>
      <c r="AA213" s="585" t="str">
        <f>C212</f>
        <v>Musteranlage aus Beiblatt 1, Eingabe Kennwerte</v>
      </c>
    </row>
    <row r="214" spans="2:29" ht="16.5" hidden="1" customHeight="1" thickBot="1">
      <c r="B214" s="112"/>
      <c r="D214" s="1" t="s">
        <v>1773</v>
      </c>
      <c r="H214" s="3" t="s">
        <v>2896</v>
      </c>
      <c r="I214" s="604">
        <f>Gebaeude!$I$217</f>
        <v>55</v>
      </c>
      <c r="K214" s="87"/>
      <c r="L214" s="162"/>
    </row>
    <row r="215" spans="2:29" ht="16.5" hidden="1" customHeight="1">
      <c r="B215" s="112"/>
      <c r="D215" s="1" t="s">
        <v>1774</v>
      </c>
      <c r="H215" s="3" t="s">
        <v>2897</v>
      </c>
      <c r="I215" s="605">
        <f>Gebaeude!$I$218</f>
        <v>4</v>
      </c>
      <c r="K215" s="87"/>
      <c r="L215" s="162"/>
    </row>
    <row r="216" spans="2:29" ht="16.5" hidden="1" customHeight="1">
      <c r="B216" s="93" t="s">
        <v>196</v>
      </c>
      <c r="H216" s="99" t="s">
        <v>197</v>
      </c>
      <c r="I216" s="114">
        <f ca="1">IF(ge_Art=C207,I209,IF(ge_Art=C210,I211,IF(ge_Art=C212,I213,"")))</f>
        <v>1.1364783569144707</v>
      </c>
      <c r="K216" s="87"/>
      <c r="L216" s="162"/>
    </row>
    <row r="217" spans="2:29" ht="16.5" hidden="1" customHeight="1">
      <c r="B217" s="82" t="s">
        <v>2402</v>
      </c>
      <c r="H217" s="3" t="s">
        <v>2978</v>
      </c>
      <c r="I217" s="115">
        <f ca="1">IF(ge_Art=$C$207,RechAnlageCode(INDEX(Technik!O185:O196,MATCH($D$208,listTechnikMusteranlageLang,0)),gAN,$I$199,"qWEE"),IF(ge_Art=$C$210,IF(gAN&gt;0,Technik!G37/gAN,""),IF(ge_Art=$C$212,ge_qWEE,"")))</f>
        <v>57.316138982052522</v>
      </c>
      <c r="K217" s="87"/>
      <c r="L217" s="162"/>
    </row>
    <row r="218" spans="2:29" ht="16.5" hidden="1" customHeight="1">
      <c r="B218" s="82" t="s">
        <v>2399</v>
      </c>
      <c r="H218" s="3" t="s">
        <v>2979</v>
      </c>
      <c r="I218" s="115">
        <f ca="1">IF(ge_Art=$C$207,RechAnlageCode(INDEX(Technik!O186:O211,MATCH($D$208,listTechnikMusteranlageLang,0)),gAN,$I$199,"qHEE"),IF(ge_Art=$C$210,IF(gAN&gt;0,Technik!G38/gAN,""),IF(ge_Art=$C$212,ge_qHEE,"")))</f>
        <v>3.8294942002850156</v>
      </c>
      <c r="K218" s="87"/>
      <c r="L218" s="162"/>
    </row>
    <row r="219" spans="2:29" ht="16.5" hidden="1" customHeight="1">
      <c r="B219" s="931" t="s">
        <v>2935</v>
      </c>
      <c r="C219" s="842"/>
      <c r="D219" s="842"/>
      <c r="E219" s="842"/>
      <c r="F219" s="842"/>
      <c r="G219" s="842"/>
      <c r="H219" s="3" t="s">
        <v>2980</v>
      </c>
      <c r="I219" s="929">
        <f ca="1">IF(ge_Art=$C$207,RechAnlageCode(INDEX(Technik!O182:O193,MATCH($D$208,listTechnikMusteranlageLang,0)),gAN,$I$199,"xCO2"),IF(ge_Art=$C$210,IF(gAN&gt;0,Technik!G38/gAN,""),IF(ge_Art=$C$212,"nicht verfügbar","")))</f>
        <v>11.404345659076286</v>
      </c>
      <c r="K219" s="87"/>
      <c r="L219" s="162"/>
    </row>
    <row r="220" spans="2:29" ht="6.75" hidden="1" customHeight="1">
      <c r="B220" s="107"/>
      <c r="C220" s="86"/>
      <c r="D220" s="86"/>
      <c r="E220" s="86"/>
      <c r="F220" s="86"/>
      <c r="G220" s="86"/>
      <c r="H220" s="118"/>
      <c r="I220" s="109"/>
      <c r="K220" s="87"/>
      <c r="L220" s="162"/>
    </row>
    <row r="221" spans="2:29" ht="16.5" customHeight="1">
      <c r="B221" s="89" t="s">
        <v>3481</v>
      </c>
      <c r="C221" s="90"/>
      <c r="D221" s="90"/>
      <c r="E221" s="90"/>
      <c r="F221" s="90"/>
      <c r="G221" s="90"/>
      <c r="H221" s="90"/>
      <c r="I221" s="91"/>
      <c r="K221" s="87">
        <f>ROW(B222)</f>
        <v>222</v>
      </c>
      <c r="L221" s="87">
        <f>ROW(B224)</f>
        <v>224</v>
      </c>
    </row>
    <row r="222" spans="2:29" ht="15.6">
      <c r="B222" s="82" t="s">
        <v>2935</v>
      </c>
      <c r="G222" s="3"/>
      <c r="H222" s="3" t="s">
        <v>2980</v>
      </c>
      <c r="I222" s="115">
        <f ca="1">I219</f>
        <v>11.404345659076286</v>
      </c>
      <c r="K222" s="87"/>
      <c r="L222" s="87"/>
      <c r="AA222" s="586"/>
      <c r="AB222" s="586"/>
      <c r="AC222" s="587"/>
    </row>
    <row r="223" spans="2:29" ht="15.6">
      <c r="B223" s="82" t="s">
        <v>694</v>
      </c>
      <c r="H223" s="3" t="s">
        <v>2982</v>
      </c>
      <c r="I223" s="114">
        <f ca="1">I216*(I199+12.5)</f>
        <v>69.964956445596158</v>
      </c>
      <c r="K223" s="87"/>
      <c r="L223" s="87"/>
      <c r="AA223" s="586"/>
      <c r="AB223" s="586"/>
      <c r="AC223" s="587"/>
    </row>
    <row r="224" spans="2:29" ht="6.75" customHeight="1">
      <c r="B224" s="93"/>
      <c r="H224" s="3"/>
      <c r="I224" s="363"/>
      <c r="K224" s="87"/>
      <c r="L224" s="87"/>
      <c r="M224" s="129"/>
    </row>
    <row r="225" spans="2:24" ht="16.5" customHeight="1">
      <c r="B225" s="89" t="s">
        <v>3487</v>
      </c>
      <c r="C225" s="90"/>
      <c r="D225" s="90"/>
      <c r="E225" s="90"/>
      <c r="F225" s="90"/>
      <c r="G225" s="90"/>
      <c r="H225" s="90"/>
      <c r="I225" s="91"/>
      <c r="K225" s="87">
        <f>ROW(B226)</f>
        <v>226</v>
      </c>
      <c r="L225" s="87">
        <f>ROW(B226)</f>
        <v>226</v>
      </c>
    </row>
    <row r="226" spans="2:24" ht="20.399999999999999" hidden="1" customHeight="1">
      <c r="B226" s="903" t="s">
        <v>2898</v>
      </c>
      <c r="I226" s="85"/>
      <c r="K226" s="87"/>
      <c r="L226" s="87"/>
    </row>
    <row r="227" spans="2:24" ht="16.5" customHeight="1">
      <c r="B227" s="80"/>
      <c r="C227" s="80"/>
      <c r="D227" s="80"/>
      <c r="E227" s="80"/>
      <c r="F227" s="80"/>
      <c r="G227" s="80"/>
      <c r="H227" s="707"/>
      <c r="I227" s="708"/>
      <c r="K227" s="87"/>
      <c r="L227" s="87"/>
      <c r="M227" s="11"/>
      <c r="N227" s="11"/>
      <c r="O227" s="11"/>
      <c r="P227" s="11"/>
      <c r="Q227" s="11"/>
      <c r="R227" s="11"/>
      <c r="S227" s="11"/>
      <c r="T227" s="11"/>
      <c r="U227" s="11"/>
      <c r="V227" s="11"/>
      <c r="W227" s="11"/>
      <c r="X227" s="11"/>
    </row>
    <row r="228" spans="2:24" ht="16.5" customHeight="1">
      <c r="B228" s="89" t="s">
        <v>3484</v>
      </c>
      <c r="C228" s="90"/>
      <c r="D228" s="90"/>
      <c r="E228" s="90"/>
      <c r="F228" s="90"/>
      <c r="G228" s="90"/>
      <c r="H228" s="90"/>
      <c r="I228" s="91"/>
      <c r="K228" s="87">
        <f>ROW(B229)</f>
        <v>229</v>
      </c>
      <c r="L228" s="87">
        <f>ROW(B239)</f>
        <v>239</v>
      </c>
      <c r="M228" s="8" t="s">
        <v>1825</v>
      </c>
    </row>
    <row r="229" spans="2:24" ht="16.5" hidden="1" customHeight="1">
      <c r="B229" s="82" t="s">
        <v>385</v>
      </c>
      <c r="H229" s="3" t="s">
        <v>2983</v>
      </c>
      <c r="I229" s="115">
        <f ca="1">SUM(M229:X229)</f>
        <v>13460.77778333955</v>
      </c>
      <c r="K229" s="87"/>
      <c r="L229" s="87" t="s">
        <v>386</v>
      </c>
      <c r="M229" s="9">
        <f t="shared" ref="M229:X229" ca="1" si="33">IF(M190&gt;0,M110*M191/M190,0)</f>
        <v>2172.6370365389253</v>
      </c>
      <c r="N229" s="9">
        <f t="shared" ca="1" si="33"/>
        <v>1865.6529673027796</v>
      </c>
      <c r="O229" s="9">
        <f t="shared" ca="1" si="33"/>
        <v>1730.5104347561798</v>
      </c>
      <c r="P229" s="9">
        <f t="shared" ca="1" si="33"/>
        <v>1149.0942284894784</v>
      </c>
      <c r="Q229" s="9">
        <f t="shared" ca="1" si="33"/>
        <v>593.6986847195634</v>
      </c>
      <c r="R229" s="9">
        <f t="shared" ca="1" si="33"/>
        <v>269.68538015569385</v>
      </c>
      <c r="S229" s="9">
        <f t="shared" ca="1" si="33"/>
        <v>0</v>
      </c>
      <c r="T229" s="9">
        <f t="shared" ca="1" si="33"/>
        <v>48.465198752617205</v>
      </c>
      <c r="U229" s="9">
        <f t="shared" ca="1" si="33"/>
        <v>551.09621162250482</v>
      </c>
      <c r="V229" s="9">
        <f t="shared" ca="1" si="33"/>
        <v>1151.0484703746649</v>
      </c>
      <c r="W229" s="9">
        <f t="shared" ca="1" si="33"/>
        <v>1744.3730371043127</v>
      </c>
      <c r="X229" s="9">
        <f t="shared" ca="1" si="33"/>
        <v>2184.5161335228318</v>
      </c>
    </row>
    <row r="230" spans="2:24" ht="16.5" hidden="1" customHeight="1">
      <c r="B230" s="82" t="s">
        <v>388</v>
      </c>
      <c r="H230" s="3" t="s">
        <v>2984</v>
      </c>
      <c r="I230" s="115">
        <f ca="1">SUM(M230:X230)</f>
        <v>7597.5768302811175</v>
      </c>
      <c r="K230" s="87"/>
      <c r="L230" s="87" t="s">
        <v>387</v>
      </c>
      <c r="M230" s="9">
        <f t="shared" ref="M230:X230" ca="1" si="34">IF(M190&gt;0,M125*M191/M190,0)</f>
        <v>1226.2870002838365</v>
      </c>
      <c r="N230" s="9">
        <f t="shared" ca="1" si="34"/>
        <v>1053.0180340149859</v>
      </c>
      <c r="O230" s="9">
        <f t="shared" ca="1" si="34"/>
        <v>976.74043768378613</v>
      </c>
      <c r="P230" s="9">
        <f t="shared" ca="1" si="34"/>
        <v>648.57557465861873</v>
      </c>
      <c r="Q230" s="9">
        <f t="shared" ca="1" si="34"/>
        <v>335.09738024028616</v>
      </c>
      <c r="R230" s="9">
        <f t="shared" ca="1" si="34"/>
        <v>152.21671650151254</v>
      </c>
      <c r="S230" s="9">
        <f t="shared" ca="1" si="34"/>
        <v>0</v>
      </c>
      <c r="T230" s="9">
        <f t="shared" ca="1" si="34"/>
        <v>27.35488818288038</v>
      </c>
      <c r="U230" s="9">
        <f t="shared" ca="1" si="34"/>
        <v>311.05155111178647</v>
      </c>
      <c r="V230" s="9">
        <f t="shared" ca="1" si="34"/>
        <v>649.67859434341244</v>
      </c>
      <c r="W230" s="9">
        <f t="shared" ca="1" si="34"/>
        <v>984.56481366731441</v>
      </c>
      <c r="X230" s="9">
        <f t="shared" ca="1" si="34"/>
        <v>1232.9918395926984</v>
      </c>
    </row>
    <row r="231" spans="2:24" ht="16.5" hidden="1" customHeight="1">
      <c r="B231" s="82" t="s">
        <v>322</v>
      </c>
      <c r="H231" s="3" t="s">
        <v>2985</v>
      </c>
      <c r="I231" s="115">
        <f ca="1">SUM(M231:X231)</f>
        <v>10365.67495059274</v>
      </c>
      <c r="K231" s="87"/>
      <c r="L231" s="87" t="s">
        <v>321</v>
      </c>
      <c r="M231" s="9">
        <f t="shared" ref="M231:X231" ca="1" si="35">M196*(M144+M176)</f>
        <v>1073.2075746757405</v>
      </c>
      <c r="N231" s="9">
        <f t="shared" ca="1" si="35"/>
        <v>971.90596931697519</v>
      </c>
      <c r="O231" s="9">
        <f t="shared" ca="1" si="35"/>
        <v>1400.7241977567624</v>
      </c>
      <c r="P231" s="9">
        <f t="shared" ca="1" si="35"/>
        <v>1584.8368064254048</v>
      </c>
      <c r="Q231" s="9">
        <f t="shared" ca="1" si="35"/>
        <v>864.68895915894439</v>
      </c>
      <c r="R231" s="9">
        <f t="shared" ca="1" si="35"/>
        <v>354.07698837682051</v>
      </c>
      <c r="S231" s="9">
        <f t="shared" ca="1" si="35"/>
        <v>0</v>
      </c>
      <c r="T231" s="9">
        <f t="shared" ca="1" si="35"/>
        <v>28.816293942217598</v>
      </c>
      <c r="U231" s="9">
        <f t="shared" ca="1" si="35"/>
        <v>832.82468153546699</v>
      </c>
      <c r="V231" s="9">
        <f t="shared" ca="1" si="35"/>
        <v>1332.0789432663826</v>
      </c>
      <c r="W231" s="9">
        <f t="shared" ca="1" si="35"/>
        <v>981.68316234209544</v>
      </c>
      <c r="X231" s="9">
        <f t="shared" ca="1" si="35"/>
        <v>940.83137379593074</v>
      </c>
    </row>
    <row r="232" spans="2:24" ht="16.5" hidden="1" customHeight="1">
      <c r="B232" s="82" t="s">
        <v>392</v>
      </c>
      <c r="H232" s="3" t="s">
        <v>2986</v>
      </c>
      <c r="I232" s="115">
        <f t="shared" ref="I232:I239" ca="1" si="36">SUM(M232:X232)</f>
        <v>4078.3662697981285</v>
      </c>
      <c r="K232" s="87"/>
      <c r="L232" s="87" t="s">
        <v>394</v>
      </c>
      <c r="M232" s="9">
        <f t="shared" ref="M232:X232" ca="1" si="37">M196*(M144)</f>
        <v>278.08195881021027</v>
      </c>
      <c r="N232" s="9">
        <f t="shared" ca="1" si="37"/>
        <v>253.73713930116077</v>
      </c>
      <c r="O232" s="9">
        <f t="shared" ca="1" si="37"/>
        <v>606.70416391290269</v>
      </c>
      <c r="P232" s="9">
        <f t="shared" ca="1" si="37"/>
        <v>900.50532228481381</v>
      </c>
      <c r="Q232" s="9">
        <f t="shared" ca="1" si="37"/>
        <v>495.80256273923476</v>
      </c>
      <c r="R232" s="9">
        <f t="shared" ca="1" si="37"/>
        <v>205.92060703223245</v>
      </c>
      <c r="S232" s="9">
        <f t="shared" ca="1" si="37"/>
        <v>0</v>
      </c>
      <c r="T232" s="9">
        <f t="shared" ca="1" si="37"/>
        <v>15.531256423438398</v>
      </c>
      <c r="U232" s="9">
        <f t="shared" ca="1" si="37"/>
        <v>409.62571438679828</v>
      </c>
      <c r="V232" s="9">
        <f t="shared" ca="1" si="37"/>
        <v>554.52410371367841</v>
      </c>
      <c r="W232" s="9">
        <f t="shared" ca="1" si="37"/>
        <v>212.239930961026</v>
      </c>
      <c r="X232" s="9">
        <f t="shared" ca="1" si="37"/>
        <v>145.6935102326328</v>
      </c>
    </row>
    <row r="233" spans="2:24" ht="16.5" hidden="1" customHeight="1">
      <c r="B233" s="82" t="s">
        <v>393</v>
      </c>
      <c r="H233" s="3" t="s">
        <v>2987</v>
      </c>
      <c r="I233" s="115">
        <f t="shared" ca="1" si="36"/>
        <v>6287.308680794612</v>
      </c>
      <c r="K233" s="87"/>
      <c r="L233" s="87" t="s">
        <v>395</v>
      </c>
      <c r="M233" s="9">
        <f t="shared" ref="M233:X233" ca="1" si="38">M196*(M176)</f>
        <v>795.12561586553022</v>
      </c>
      <c r="N233" s="9">
        <f t="shared" ca="1" si="38"/>
        <v>718.16883001581436</v>
      </c>
      <c r="O233" s="9">
        <f t="shared" ca="1" si="38"/>
        <v>794.02003384385955</v>
      </c>
      <c r="P233" s="9">
        <f t="shared" ca="1" si="38"/>
        <v>684.33148414059099</v>
      </c>
      <c r="Q233" s="9">
        <f t="shared" ca="1" si="38"/>
        <v>368.88639641970974</v>
      </c>
      <c r="R233" s="9">
        <f t="shared" ca="1" si="38"/>
        <v>148.15638134458806</v>
      </c>
      <c r="S233" s="9">
        <f t="shared" ca="1" si="38"/>
        <v>0</v>
      </c>
      <c r="T233" s="9">
        <f t="shared" ca="1" si="38"/>
        <v>13.285037518779202</v>
      </c>
      <c r="U233" s="9">
        <f t="shared" ca="1" si="38"/>
        <v>423.19896714866866</v>
      </c>
      <c r="V233" s="9">
        <f t="shared" ca="1" si="38"/>
        <v>777.55483955270404</v>
      </c>
      <c r="W233" s="9">
        <f t="shared" ca="1" si="38"/>
        <v>769.44323138106938</v>
      </c>
      <c r="X233" s="9">
        <f t="shared" ca="1" si="38"/>
        <v>795.13786356329786</v>
      </c>
    </row>
    <row r="234" spans="2:24" ht="16.5" hidden="1" customHeight="1">
      <c r="B234" s="82" t="s">
        <v>396</v>
      </c>
      <c r="H234" s="3" t="s">
        <v>2988</v>
      </c>
      <c r="I234" s="115">
        <f t="shared" ca="1" si="36"/>
        <v>4078.3662697981285</v>
      </c>
      <c r="K234" s="87"/>
      <c r="L234" s="87" t="s">
        <v>398</v>
      </c>
      <c r="M234" s="9">
        <f t="shared" ref="M234:X234" ca="1" si="39">M196*(SUM(M141:M142)+SUM(M131:M136))</f>
        <v>278.08195881021027</v>
      </c>
      <c r="N234" s="9">
        <f t="shared" ca="1" si="39"/>
        <v>253.73713930116077</v>
      </c>
      <c r="O234" s="9">
        <f t="shared" ca="1" si="39"/>
        <v>606.70416391290269</v>
      </c>
      <c r="P234" s="9">
        <f t="shared" ca="1" si="39"/>
        <v>900.50532228481381</v>
      </c>
      <c r="Q234" s="9">
        <f t="shared" ca="1" si="39"/>
        <v>495.80256273923476</v>
      </c>
      <c r="R234" s="9">
        <f t="shared" ca="1" si="39"/>
        <v>205.92060703223245</v>
      </c>
      <c r="S234" s="9">
        <f t="shared" ca="1" si="39"/>
        <v>0</v>
      </c>
      <c r="T234" s="9">
        <f t="shared" ca="1" si="39"/>
        <v>15.531256423438398</v>
      </c>
      <c r="U234" s="9">
        <f t="shared" ca="1" si="39"/>
        <v>409.62571438679828</v>
      </c>
      <c r="V234" s="9">
        <f t="shared" ca="1" si="39"/>
        <v>554.52410371367841</v>
      </c>
      <c r="W234" s="9">
        <f t="shared" ca="1" si="39"/>
        <v>212.239930961026</v>
      </c>
      <c r="X234" s="9">
        <f t="shared" ca="1" si="39"/>
        <v>145.6935102326328</v>
      </c>
    </row>
    <row r="235" spans="2:24" ht="16.5" hidden="1" customHeight="1">
      <c r="B235" s="82" t="s">
        <v>397</v>
      </c>
      <c r="H235" s="3" t="s">
        <v>2989</v>
      </c>
      <c r="I235" s="115">
        <f t="shared" ca="1" si="36"/>
        <v>0</v>
      </c>
      <c r="K235" s="87"/>
      <c r="L235" s="87" t="s">
        <v>399</v>
      </c>
      <c r="M235" s="9">
        <f t="shared" ref="M235:X235" ca="1" si="40">M196*SUM(M137:M140)</f>
        <v>0</v>
      </c>
      <c r="N235" s="9">
        <f t="shared" ca="1" si="40"/>
        <v>0</v>
      </c>
      <c r="O235" s="9">
        <f t="shared" ca="1" si="40"/>
        <v>0</v>
      </c>
      <c r="P235" s="9">
        <f t="shared" ca="1" si="40"/>
        <v>0</v>
      </c>
      <c r="Q235" s="9">
        <f t="shared" ca="1" si="40"/>
        <v>0</v>
      </c>
      <c r="R235" s="9">
        <f t="shared" ca="1" si="40"/>
        <v>0</v>
      </c>
      <c r="S235" s="9">
        <f t="shared" ca="1" si="40"/>
        <v>0</v>
      </c>
      <c r="T235" s="9">
        <f t="shared" ca="1" si="40"/>
        <v>0</v>
      </c>
      <c r="U235" s="9">
        <f t="shared" ca="1" si="40"/>
        <v>0</v>
      </c>
      <c r="V235" s="9">
        <f t="shared" ca="1" si="40"/>
        <v>0</v>
      </c>
      <c r="W235" s="9">
        <f t="shared" ca="1" si="40"/>
        <v>0</v>
      </c>
      <c r="X235" s="9">
        <f t="shared" ca="1" si="40"/>
        <v>0</v>
      </c>
    </row>
    <row r="236" spans="2:24" ht="16.5" hidden="1" customHeight="1">
      <c r="B236" s="82" t="s">
        <v>2623</v>
      </c>
      <c r="H236" s="3" t="s">
        <v>2990</v>
      </c>
      <c r="I236" s="115">
        <f t="shared" ca="1" si="36"/>
        <v>182.28189012096007</v>
      </c>
      <c r="K236" s="87"/>
      <c r="L236" s="87" t="s">
        <v>400</v>
      </c>
      <c r="M236" s="11">
        <f t="shared" ref="M236:X236" ca="1" si="41">IF(M229&gt;0,SUM(M149:M160),0)</f>
        <v>-7.6871804889600011</v>
      </c>
      <c r="N236" s="11">
        <f t="shared" ca="1" si="41"/>
        <v>-5.8437016780800004</v>
      </c>
      <c r="O236" s="11">
        <f t="shared" ca="1" si="41"/>
        <v>14.149593534720005</v>
      </c>
      <c r="P236" s="11">
        <f t="shared" ca="1" si="41"/>
        <v>42.122491891200013</v>
      </c>
      <c r="Q236" s="11">
        <f t="shared" ca="1" si="41"/>
        <v>46.436533704960013</v>
      </c>
      <c r="R236" s="11">
        <f t="shared" ca="1" si="41"/>
        <v>48.30177864960001</v>
      </c>
      <c r="S236" s="11">
        <f t="shared" ca="1" si="41"/>
        <v>0</v>
      </c>
      <c r="T236" s="11">
        <f t="shared" ca="1" si="41"/>
        <v>36.265592186880014</v>
      </c>
      <c r="U236" s="11">
        <f t="shared" ca="1" si="41"/>
        <v>23.582859955200011</v>
      </c>
      <c r="V236" s="11">
        <f t="shared" ca="1" si="41"/>
        <v>10.356937946880004</v>
      </c>
      <c r="W236" s="11">
        <f t="shared" ca="1" si="41"/>
        <v>-10.153755763200003</v>
      </c>
      <c r="X236" s="11">
        <f t="shared" ca="1" si="41"/>
        <v>-15.249259818240002</v>
      </c>
    </row>
    <row r="237" spans="2:24" ht="16.5" hidden="1" customHeight="1">
      <c r="B237" s="82" t="s">
        <v>2624</v>
      </c>
      <c r="H237" s="3" t="s">
        <v>2991</v>
      </c>
      <c r="I237" s="115">
        <f t="shared" ca="1" si="36"/>
        <v>-2.1429878400000009</v>
      </c>
      <c r="K237" s="87"/>
      <c r="L237" s="87" t="s">
        <v>401</v>
      </c>
      <c r="M237" s="11">
        <f t="shared" ref="M237:X237" ca="1" si="42">IF(M229&gt;0,SUM(M161:M162),0)</f>
        <v>-3.0614112000000007</v>
      </c>
      <c r="N237" s="11">
        <f t="shared" ca="1" si="42"/>
        <v>-2.0277734400000003</v>
      </c>
      <c r="O237" s="11">
        <f t="shared" ca="1" si="42"/>
        <v>-0.91842336000000024</v>
      </c>
      <c r="P237" s="11">
        <f t="shared" ca="1" si="42"/>
        <v>1.7775936000000003</v>
      </c>
      <c r="Q237" s="11">
        <f t="shared" ca="1" si="42"/>
        <v>3.5716464000000006</v>
      </c>
      <c r="R237" s="11">
        <f t="shared" ca="1" si="42"/>
        <v>4.2464736000000007</v>
      </c>
      <c r="S237" s="11">
        <f t="shared" ca="1" si="42"/>
        <v>0</v>
      </c>
      <c r="T237" s="11">
        <f t="shared" ca="1" si="42"/>
        <v>1.7347996800000005</v>
      </c>
      <c r="U237" s="11">
        <f t="shared" ca="1" si="42"/>
        <v>9.8755200000000015E-2</v>
      </c>
      <c r="V237" s="11">
        <f t="shared" ca="1" si="42"/>
        <v>-1.5307056000000003</v>
      </c>
      <c r="W237" s="11">
        <f t="shared" ca="1" si="42"/>
        <v>-2.6663904000000005</v>
      </c>
      <c r="X237" s="11">
        <f t="shared" ca="1" si="42"/>
        <v>-3.367552320000001</v>
      </c>
    </row>
    <row r="238" spans="2:24" ht="16.5" hidden="1" customHeight="1">
      <c r="B238" s="82" t="s">
        <v>2625</v>
      </c>
      <c r="H238" s="3" t="s">
        <v>2992</v>
      </c>
      <c r="I238" s="115">
        <f t="shared" ca="1" si="36"/>
        <v>25.42564250880001</v>
      </c>
      <c r="K238" s="87"/>
      <c r="L238" s="87" t="s">
        <v>402</v>
      </c>
      <c r="M238" s="11">
        <f t="shared" ref="M238:X238" ca="1" si="43">IF(M229&gt;0,SUM(M162:M169),0)</f>
        <v>-6.1533002112000013</v>
      </c>
      <c r="N238" s="11">
        <f t="shared" ca="1" si="43"/>
        <v>-4.9081084416000014</v>
      </c>
      <c r="O238" s="11">
        <f t="shared" ca="1" si="43"/>
        <v>0.52165351680000016</v>
      </c>
      <c r="P238" s="11">
        <f t="shared" ca="1" si="43"/>
        <v>9.8355306240000022</v>
      </c>
      <c r="Q238" s="11">
        <f t="shared" ca="1" si="43"/>
        <v>13.610445542400001</v>
      </c>
      <c r="R238" s="11">
        <f t="shared" ca="1" si="43"/>
        <v>15.276739968000001</v>
      </c>
      <c r="S238" s="11">
        <f t="shared" ca="1" si="43"/>
        <v>0</v>
      </c>
      <c r="T238" s="11">
        <f t="shared" ca="1" si="43"/>
        <v>9.0034011264000018</v>
      </c>
      <c r="U238" s="11">
        <f t="shared" ca="1" si="43"/>
        <v>3.8061676800000011</v>
      </c>
      <c r="V238" s="11">
        <f t="shared" ca="1" si="43"/>
        <v>-0.56639470080000009</v>
      </c>
      <c r="W238" s="11">
        <f t="shared" ca="1" si="43"/>
        <v>-6.5549998080000007</v>
      </c>
      <c r="X238" s="11">
        <f t="shared" ca="1" si="43"/>
        <v>-8.4454927872000027</v>
      </c>
    </row>
    <row r="239" spans="2:24" ht="16.5" hidden="1" customHeight="1">
      <c r="B239" s="117" t="s">
        <v>2626</v>
      </c>
      <c r="C239" s="86"/>
      <c r="D239" s="86"/>
      <c r="E239" s="86"/>
      <c r="F239" s="86"/>
      <c r="G239" s="86"/>
      <c r="H239" s="948" t="s">
        <v>2993</v>
      </c>
      <c r="I239" s="121">
        <f t="shared" ca="1" si="36"/>
        <v>-734.45191621391496</v>
      </c>
      <c r="K239" s="87"/>
      <c r="L239" s="775"/>
      <c r="M239" s="9">
        <f ca="1">M191-M190</f>
        <v>-124.80417055124508</v>
      </c>
      <c r="N239" s="9">
        <f t="shared" ref="N239:X239" ca="1" si="44">N191-N190</f>
        <v>-104.91513791283433</v>
      </c>
      <c r="O239" s="9">
        <f t="shared" ca="1" si="44"/>
        <v>-92.155425640495196</v>
      </c>
      <c r="P239" s="9">
        <f t="shared" ca="1" si="44"/>
        <v>-58.918177081218346</v>
      </c>
      <c r="Q239" s="9">
        <f t="shared" ca="1" si="44"/>
        <v>-30.441058158630199</v>
      </c>
      <c r="R239" s="9">
        <f t="shared" ca="1" si="44"/>
        <v>-13.827735437428998</v>
      </c>
      <c r="S239" s="9">
        <f t="shared" ca="1" si="44"/>
        <v>0</v>
      </c>
      <c r="T239" s="9">
        <f t="shared" ca="1" si="44"/>
        <v>-2.4849843394800644</v>
      </c>
      <c r="U239" s="9">
        <f t="shared" ca="1" si="44"/>
        <v>-28.256676763441533</v>
      </c>
      <c r="V239" s="9">
        <f t="shared" ca="1" si="44"/>
        <v>-59.018378062648708</v>
      </c>
      <c r="W239" s="9">
        <f t="shared" ca="1" si="44"/>
        <v>-93.833670189270833</v>
      </c>
      <c r="X239" s="9">
        <f t="shared" ca="1" si="44"/>
        <v>-125.7965020772217</v>
      </c>
    </row>
    <row r="240" spans="2:24" ht="16.5" customHeight="1">
      <c r="H240" s="3"/>
      <c r="I240" s="4"/>
      <c r="K240" s="87"/>
      <c r="L240" s="87"/>
      <c r="M240" s="9"/>
      <c r="N240" s="9"/>
      <c r="O240" s="9"/>
      <c r="P240" s="9"/>
      <c r="Q240" s="9"/>
      <c r="R240" s="9"/>
      <c r="S240" s="9"/>
      <c r="T240" s="9"/>
      <c r="U240" s="9"/>
      <c r="V240" s="9"/>
      <c r="W240" s="9"/>
      <c r="X240" s="9"/>
    </row>
    <row r="241" spans="1:40" ht="16.5" customHeight="1">
      <c r="B241" s="89" t="s">
        <v>3485</v>
      </c>
      <c r="C241" s="90"/>
      <c r="D241" s="90"/>
      <c r="E241" s="90"/>
      <c r="F241" s="90"/>
      <c r="G241" s="90"/>
      <c r="H241" s="90"/>
      <c r="I241" s="91"/>
      <c r="K241" s="87">
        <f>ROW(B242)</f>
        <v>242</v>
      </c>
      <c r="L241" s="87">
        <f>ROW(B267)</f>
        <v>267</v>
      </c>
      <c r="M241" s="8" t="s">
        <v>2392</v>
      </c>
    </row>
    <row r="242" spans="1:40" ht="16.5" hidden="1" customHeight="1">
      <c r="B242" s="82" t="s">
        <v>1805</v>
      </c>
      <c r="H242" s="3"/>
      <c r="I242" s="363"/>
      <c r="K242" s="87"/>
      <c r="L242" s="87"/>
    </row>
    <row r="243" spans="1:40" ht="16.5" hidden="1" customHeight="1">
      <c r="B243" s="82"/>
      <c r="C243" s="1" t="s">
        <v>1844</v>
      </c>
      <c r="H243" s="3" t="s">
        <v>1826</v>
      </c>
      <c r="I243" s="389">
        <f ca="1">gAN</f>
        <v>213.7481712</v>
      </c>
      <c r="K243" s="87"/>
      <c r="L243" s="87"/>
      <c r="N243" s="72" t="s">
        <v>2294</v>
      </c>
    </row>
    <row r="244" spans="1:40" ht="15.6" hidden="1">
      <c r="B244" s="388"/>
      <c r="C244" s="1" t="s">
        <v>171</v>
      </c>
      <c r="H244" s="359" t="s">
        <v>1750</v>
      </c>
      <c r="I244" s="389">
        <f ca="1">I107</f>
        <v>168.19097275000001</v>
      </c>
      <c r="K244" s="87"/>
      <c r="L244" s="87"/>
    </row>
    <row r="245" spans="1:40" ht="15.6" hidden="1">
      <c r="B245" s="82"/>
      <c r="C245" s="1" t="s">
        <v>1806</v>
      </c>
      <c r="H245" s="3" t="s">
        <v>1807</v>
      </c>
      <c r="I245" s="115">
        <f ca="1">SUM(I114:I115)</f>
        <v>507.65190660000002</v>
      </c>
      <c r="K245" s="87"/>
      <c r="L245" s="78"/>
      <c r="N245" s="484" t="s">
        <v>2293</v>
      </c>
      <c r="O245" s="376"/>
      <c r="P245" s="376"/>
      <c r="Q245" s="376"/>
      <c r="R245" s="376"/>
      <c r="S245" s="376"/>
      <c r="T245" s="484" t="s">
        <v>2295</v>
      </c>
      <c r="U245" s="485"/>
      <c r="V245" s="486" t="s">
        <v>2296</v>
      </c>
      <c r="W245" s="485"/>
    </row>
    <row r="246" spans="1:40" hidden="1">
      <c r="B246" s="82"/>
      <c r="C246" s="1" t="s">
        <v>2672</v>
      </c>
      <c r="H246" s="3"/>
      <c r="I246" s="734" t="str">
        <f>IF(ISERROR(FIND("Zu",G116)),Y253,Y254)</f>
        <v>Fenster oder Abluft</v>
      </c>
      <c r="K246" s="87"/>
      <c r="L246" s="78"/>
      <c r="N246" s="82"/>
      <c r="O246" s="1" t="s">
        <v>2931</v>
      </c>
      <c r="T246" s="479">
        <v>1.5</v>
      </c>
      <c r="U246" s="83"/>
      <c r="V246" s="99">
        <v>0.06</v>
      </c>
      <c r="W246" s="85"/>
    </row>
    <row r="247" spans="1:40" hidden="1">
      <c r="B247" s="82"/>
      <c r="C247" s="1" t="s">
        <v>1816</v>
      </c>
      <c r="H247" s="3"/>
      <c r="I247" s="734" t="str">
        <f>IF(gCwirk_Art=D180,D180,IF(gCwirk_Art=D181,D181,IF(gCwirk_eta&lt;35,D180,D181)))</f>
        <v>schwere Bauweise</v>
      </c>
      <c r="K247" s="87"/>
      <c r="L247" s="78"/>
      <c r="N247" s="82"/>
      <c r="O247" s="1" t="s">
        <v>2932</v>
      </c>
      <c r="T247" s="479">
        <v>3</v>
      </c>
      <c r="U247" s="83"/>
      <c r="V247" s="99">
        <v>0.12</v>
      </c>
      <c r="W247" s="85"/>
    </row>
    <row r="248" spans="1:40" hidden="1">
      <c r="B248" s="82" t="s">
        <v>1808</v>
      </c>
      <c r="H248" s="3"/>
      <c r="I248" s="363"/>
      <c r="K248" s="87"/>
      <c r="L248" s="78"/>
      <c r="N248" s="117"/>
      <c r="O248" s="86" t="s">
        <v>1839</v>
      </c>
      <c r="P248" s="86"/>
      <c r="Q248" s="86"/>
      <c r="R248" s="86"/>
      <c r="S248" s="86"/>
      <c r="T248" s="480">
        <v>6</v>
      </c>
      <c r="U248" s="481"/>
      <c r="V248" s="118">
        <v>0.24</v>
      </c>
      <c r="W248" s="478"/>
    </row>
    <row r="249" spans="1:40" ht="15.6" hidden="1">
      <c r="B249" s="82"/>
      <c r="C249" s="1" t="s">
        <v>1809</v>
      </c>
      <c r="H249" s="3" t="s">
        <v>1811</v>
      </c>
      <c r="I249" s="598">
        <f>Gebaeude!$I$281</f>
        <v>-12</v>
      </c>
      <c r="J249" s="392"/>
      <c r="K249" s="87"/>
      <c r="L249" s="78"/>
      <c r="N249" s="476" t="s">
        <v>1823</v>
      </c>
    </row>
    <row r="250" spans="1:40" s="129" customFormat="1" ht="15.6" hidden="1">
      <c r="A250" s="1"/>
      <c r="B250" s="82"/>
      <c r="C250" s="1" t="s">
        <v>1810</v>
      </c>
      <c r="D250" s="1"/>
      <c r="E250" s="1"/>
      <c r="F250" s="1"/>
      <c r="G250" s="1"/>
      <c r="H250" s="3" t="s">
        <v>1812</v>
      </c>
      <c r="I250" s="598">
        <f>Gebaeude!$I$282</f>
        <v>20</v>
      </c>
      <c r="J250" s="392"/>
      <c r="K250" s="87"/>
      <c r="AA250" s="571"/>
      <c r="AB250" s="571"/>
      <c r="AC250" s="571"/>
      <c r="AD250" s="571"/>
      <c r="AE250" s="571"/>
      <c r="AF250" s="571"/>
      <c r="AG250" s="571"/>
      <c r="AH250" s="571"/>
      <c r="AI250" s="571"/>
      <c r="AJ250" s="571"/>
      <c r="AK250" s="571"/>
      <c r="AL250" s="571"/>
      <c r="AM250" s="571"/>
      <c r="AN250" s="571"/>
    </row>
    <row r="251" spans="1:40" s="129" customFormat="1" ht="15.6" hidden="1">
      <c r="A251" s="1"/>
      <c r="B251" s="82"/>
      <c r="C251" s="1" t="s">
        <v>1814</v>
      </c>
      <c r="D251" s="1"/>
      <c r="E251" s="1"/>
      <c r="F251" s="1"/>
      <c r="G251" s="1"/>
      <c r="H251" s="3" t="s">
        <v>1813</v>
      </c>
      <c r="I251" s="598"/>
      <c r="J251" s="1"/>
      <c r="K251" s="87"/>
      <c r="N251" s="477" t="s">
        <v>2303</v>
      </c>
      <c r="O251" s="80"/>
      <c r="P251" s="80"/>
      <c r="Q251" s="80"/>
      <c r="R251" s="80"/>
      <c r="S251" s="80"/>
      <c r="T251" s="80"/>
      <c r="U251" s="477" t="s">
        <v>1834</v>
      </c>
      <c r="V251" s="80"/>
      <c r="W251" s="80"/>
      <c r="X251" s="81"/>
      <c r="AA251" s="571"/>
      <c r="AB251" s="571"/>
      <c r="AC251" s="571"/>
      <c r="AD251" s="571"/>
      <c r="AE251" s="571"/>
      <c r="AF251" s="571"/>
      <c r="AG251" s="571"/>
      <c r="AH251" s="571"/>
      <c r="AI251" s="571"/>
      <c r="AJ251" s="571"/>
      <c r="AK251" s="571"/>
      <c r="AL251" s="571"/>
      <c r="AM251" s="571"/>
      <c r="AN251" s="571"/>
    </row>
    <row r="252" spans="1:40" s="129" customFormat="1" hidden="1">
      <c r="A252" s="1"/>
      <c r="B252" s="82"/>
      <c r="C252" s="1" t="s">
        <v>1815</v>
      </c>
      <c r="D252" s="1"/>
      <c r="E252" s="1"/>
      <c r="F252" s="1"/>
      <c r="G252" s="1"/>
      <c r="H252" s="3"/>
      <c r="I252" s="598" t="str">
        <f>Gebaeude!$I$284</f>
        <v>nein</v>
      </c>
      <c r="J252" s="5"/>
      <c r="N252" s="117"/>
      <c r="O252" s="86"/>
      <c r="P252" s="86"/>
      <c r="Q252" s="86"/>
      <c r="R252" s="86"/>
      <c r="S252" s="86"/>
      <c r="T252" s="86"/>
      <c r="U252" s="117" t="s">
        <v>1832</v>
      </c>
      <c r="V252" s="478"/>
      <c r="W252" s="86" t="s">
        <v>1833</v>
      </c>
      <c r="X252" s="478"/>
      <c r="AA252" s="571"/>
      <c r="AB252" s="571"/>
      <c r="AC252" s="571"/>
      <c r="AD252" s="571"/>
      <c r="AE252" s="571"/>
      <c r="AF252" s="571"/>
      <c r="AG252" s="571"/>
      <c r="AH252" s="571"/>
      <c r="AI252" s="571"/>
      <c r="AJ252" s="571"/>
      <c r="AK252" s="571"/>
      <c r="AL252" s="571"/>
      <c r="AM252" s="571"/>
      <c r="AN252" s="571"/>
    </row>
    <row r="253" spans="1:40" s="129" customFormat="1" hidden="1">
      <c r="A253" s="1"/>
      <c r="B253" s="82" t="s">
        <v>1819</v>
      </c>
      <c r="C253" s="1"/>
      <c r="D253" s="1"/>
      <c r="E253" s="1"/>
      <c r="F253" s="1"/>
      <c r="G253" s="1"/>
      <c r="H253" s="3"/>
      <c r="I253" s="363"/>
      <c r="J253" s="5"/>
      <c r="N253" s="82"/>
      <c r="O253" s="1" t="s">
        <v>2297</v>
      </c>
      <c r="P253" s="1"/>
      <c r="Q253" s="1"/>
      <c r="R253" s="1"/>
      <c r="S253" s="1"/>
      <c r="T253" s="1"/>
      <c r="U253" s="479">
        <v>43</v>
      </c>
      <c r="V253" s="83"/>
      <c r="W253" s="3">
        <v>16</v>
      </c>
      <c r="X253" s="83"/>
      <c r="Y253" s="122" t="s">
        <v>2680</v>
      </c>
      <c r="AA253" s="571"/>
      <c r="AB253" s="571"/>
      <c r="AC253" s="571"/>
      <c r="AD253" s="571"/>
      <c r="AE253" s="571"/>
      <c r="AF253" s="571"/>
      <c r="AG253" s="571"/>
      <c r="AH253" s="571"/>
      <c r="AI253" s="571"/>
      <c r="AJ253" s="571"/>
      <c r="AK253" s="571"/>
      <c r="AL253" s="571"/>
      <c r="AM253" s="571"/>
      <c r="AN253" s="571"/>
    </row>
    <row r="254" spans="1:40" s="129" customFormat="1" ht="15.6" hidden="1">
      <c r="A254" s="1"/>
      <c r="B254" s="82"/>
      <c r="C254" s="1" t="s">
        <v>1821</v>
      </c>
      <c r="D254" s="1"/>
      <c r="E254" s="1"/>
      <c r="F254" s="1"/>
      <c r="G254" s="1"/>
      <c r="H254" s="3" t="s">
        <v>1820</v>
      </c>
      <c r="I254" s="363">
        <v>0.5</v>
      </c>
      <c r="J254" s="5"/>
      <c r="N254" s="117"/>
      <c r="O254" s="86" t="s">
        <v>2298</v>
      </c>
      <c r="P254" s="86"/>
      <c r="Q254" s="86"/>
      <c r="R254" s="86"/>
      <c r="S254" s="86"/>
      <c r="T254" s="86"/>
      <c r="U254" s="480">
        <v>34</v>
      </c>
      <c r="V254" s="481"/>
      <c r="W254" s="108">
        <v>10</v>
      </c>
      <c r="X254" s="481"/>
      <c r="Y254" s="122" t="s">
        <v>2681</v>
      </c>
      <c r="AA254" s="571"/>
      <c r="AB254" s="571"/>
      <c r="AC254" s="571"/>
      <c r="AD254" s="571"/>
      <c r="AE254" s="571"/>
      <c r="AF254" s="571"/>
      <c r="AG254" s="571"/>
      <c r="AH254" s="571"/>
      <c r="AI254" s="571"/>
      <c r="AJ254" s="571"/>
      <c r="AK254" s="571"/>
      <c r="AL254" s="571"/>
      <c r="AM254" s="571"/>
      <c r="AN254" s="571"/>
    </row>
    <row r="255" spans="1:40" s="129" customFormat="1" ht="15.6" hidden="1">
      <c r="A255" s="1"/>
      <c r="B255" s="82"/>
      <c r="C255" s="1" t="s">
        <v>1822</v>
      </c>
      <c r="D255" s="1"/>
      <c r="E255" s="1"/>
      <c r="F255" s="1"/>
      <c r="G255" s="1"/>
      <c r="H255" s="3" t="s">
        <v>1871</v>
      </c>
      <c r="I255" s="363">
        <v>0.34</v>
      </c>
      <c r="J255" s="5"/>
      <c r="N255" s="476" t="s">
        <v>2299</v>
      </c>
      <c r="O255" s="1"/>
      <c r="P255" s="1"/>
      <c r="Q255" s="1"/>
      <c r="R255" s="1"/>
      <c r="S255" s="1"/>
      <c r="T255" s="1"/>
      <c r="U255" s="1"/>
      <c r="V255" s="1"/>
      <c r="W255" s="1"/>
      <c r="AA255" s="571"/>
      <c r="AB255" s="571"/>
      <c r="AC255" s="571"/>
      <c r="AD255" s="571"/>
      <c r="AE255" s="571"/>
      <c r="AF255" s="571"/>
      <c r="AG255" s="571"/>
      <c r="AH255" s="571"/>
      <c r="AI255" s="571"/>
      <c r="AJ255" s="571"/>
      <c r="AK255" s="571"/>
      <c r="AL255" s="571"/>
      <c r="AM255" s="571"/>
      <c r="AN255" s="571"/>
    </row>
    <row r="256" spans="1:40" s="129" customFormat="1" hidden="1">
      <c r="A256" s="1"/>
      <c r="B256" s="82" t="s">
        <v>1818</v>
      </c>
      <c r="C256" s="1"/>
      <c r="D256" s="1"/>
      <c r="E256" s="1"/>
      <c r="F256" s="1"/>
      <c r="G256" s="1"/>
      <c r="H256" s="3"/>
      <c r="I256" s="363"/>
      <c r="J256" s="5"/>
      <c r="AA256" s="571"/>
      <c r="AB256" s="571"/>
      <c r="AC256" s="571"/>
      <c r="AD256" s="571"/>
      <c r="AE256" s="571"/>
      <c r="AF256" s="571"/>
      <c r="AG256" s="571"/>
      <c r="AH256" s="571"/>
      <c r="AI256" s="571"/>
      <c r="AJ256" s="571"/>
      <c r="AK256" s="571"/>
      <c r="AL256" s="571"/>
      <c r="AM256" s="571"/>
      <c r="AN256" s="571"/>
    </row>
    <row r="257" spans="1:40" s="129" customFormat="1" ht="15.6" hidden="1">
      <c r="A257" s="1"/>
      <c r="B257" s="82"/>
      <c r="C257" s="1" t="s">
        <v>2291</v>
      </c>
      <c r="D257" s="1"/>
      <c r="E257" s="1"/>
      <c r="F257" s="1"/>
      <c r="G257" s="1"/>
      <c r="H257" s="3" t="s">
        <v>2292</v>
      </c>
      <c r="I257" s="363">
        <f ca="1">IF(I249="ja",6,IF(I243="Fensterlüftung",3,1.5))</f>
        <v>1.5</v>
      </c>
      <c r="J257" s="392" t="s">
        <v>1823</v>
      </c>
      <c r="AA257" s="571"/>
      <c r="AB257" s="571"/>
      <c r="AC257" s="571"/>
      <c r="AD257" s="571"/>
      <c r="AE257" s="571"/>
      <c r="AF257" s="571"/>
      <c r="AG257" s="571"/>
      <c r="AH257" s="571"/>
      <c r="AI257" s="571"/>
      <c r="AJ257" s="571"/>
      <c r="AK257" s="571"/>
      <c r="AL257" s="571"/>
      <c r="AM257" s="571"/>
      <c r="AN257" s="571"/>
    </row>
    <row r="258" spans="1:40" s="129" customFormat="1" ht="15.6" hidden="1">
      <c r="A258" s="1"/>
      <c r="B258" s="82"/>
      <c r="C258" s="72" t="s">
        <v>1829</v>
      </c>
      <c r="D258" s="1"/>
      <c r="E258" s="1"/>
      <c r="F258" s="1"/>
      <c r="G258" s="1"/>
      <c r="H258" s="3" t="s">
        <v>1817</v>
      </c>
      <c r="I258" s="390">
        <f ca="1">I244*(I250-I249)</f>
        <v>5382.1111280000005</v>
      </c>
      <c r="J258" s="5"/>
      <c r="M258" s="391">
        <f ca="1">I258/$I$243</f>
        <v>25.179682697561251</v>
      </c>
      <c r="AA258" s="571"/>
      <c r="AB258" s="571"/>
      <c r="AC258" s="571"/>
      <c r="AD258" s="571"/>
      <c r="AE258" s="571"/>
      <c r="AF258" s="571"/>
      <c r="AG258" s="571"/>
      <c r="AH258" s="571"/>
      <c r="AI258" s="571"/>
      <c r="AJ258" s="571"/>
      <c r="AK258" s="571"/>
      <c r="AL258" s="571"/>
      <c r="AM258" s="571"/>
      <c r="AN258" s="571"/>
    </row>
    <row r="259" spans="1:40" s="129" customFormat="1" ht="15.6" hidden="1">
      <c r="A259" s="1"/>
      <c r="B259" s="82"/>
      <c r="C259" s="1" t="s">
        <v>1841</v>
      </c>
      <c r="D259" s="1"/>
      <c r="E259" s="1"/>
      <c r="F259" s="1"/>
      <c r="G259" s="1"/>
      <c r="H259" s="3" t="s">
        <v>1840</v>
      </c>
      <c r="I259" s="390">
        <f ca="1">$I$245*$I$254*(1-IF(I246=Y254,$I$251,0)/100)*$I$255*($I$250-$I$249)</f>
        <v>2761.6263719040003</v>
      </c>
      <c r="J259" s="5"/>
      <c r="M259" s="391">
        <f ca="1">I259/$I$243</f>
        <v>12.920000000000002</v>
      </c>
      <c r="AA259" s="571"/>
      <c r="AB259" s="571"/>
      <c r="AC259" s="571"/>
      <c r="AD259" s="571"/>
      <c r="AE259" s="571"/>
      <c r="AF259" s="571"/>
      <c r="AG259" s="571"/>
      <c r="AH259" s="571"/>
      <c r="AI259" s="571"/>
      <c r="AJ259" s="571"/>
      <c r="AK259" s="571"/>
      <c r="AL259" s="571"/>
      <c r="AM259" s="571"/>
      <c r="AN259" s="571"/>
    </row>
    <row r="260" spans="1:40" s="129" customFormat="1" ht="15.6" hidden="1">
      <c r="A260" s="1"/>
      <c r="B260" s="82"/>
      <c r="C260" s="1" t="s">
        <v>1828</v>
      </c>
      <c r="D260" s="1"/>
      <c r="E260" s="1"/>
      <c r="F260" s="1"/>
      <c r="G260" s="1"/>
      <c r="H260" s="3" t="s">
        <v>1824</v>
      </c>
      <c r="I260" s="363">
        <f>IF(I252="ja",0.24,IF(I246=Y253,0.12,0.06))</f>
        <v>0.12</v>
      </c>
      <c r="J260" s="392" t="s">
        <v>1823</v>
      </c>
      <c r="R260" s="5"/>
      <c r="S260" s="5"/>
      <c r="T260" s="5"/>
      <c r="U260" s="5"/>
      <c r="V260" s="5"/>
      <c r="W260" s="5"/>
      <c r="X260" s="5"/>
      <c r="Y260" s="5"/>
      <c r="AA260" s="571"/>
      <c r="AB260" s="571"/>
      <c r="AC260" s="571"/>
      <c r="AD260" s="571"/>
      <c r="AE260" s="571"/>
      <c r="AF260" s="571"/>
      <c r="AG260" s="571"/>
      <c r="AH260" s="571"/>
      <c r="AI260" s="571"/>
      <c r="AJ260" s="571"/>
      <c r="AK260" s="571"/>
      <c r="AL260" s="571"/>
      <c r="AM260" s="571"/>
      <c r="AN260" s="571"/>
    </row>
    <row r="261" spans="1:40" s="129" customFormat="1" ht="15.6" hidden="1">
      <c r="A261" s="1"/>
      <c r="B261" s="82"/>
      <c r="C261" s="1" t="s">
        <v>1843</v>
      </c>
      <c r="D261" s="1"/>
      <c r="E261" s="1"/>
      <c r="F261" s="1"/>
      <c r="G261" s="1"/>
      <c r="H261" s="3" t="s">
        <v>1842</v>
      </c>
      <c r="I261" s="390">
        <f>IF(I246=Y253,0,$I$245*$I$260*($I$255*($I$250-$I$249)))</f>
        <v>0</v>
      </c>
      <c r="J261" s="5"/>
      <c r="M261" s="391">
        <f ca="1">I261/$I$243</f>
        <v>0</v>
      </c>
      <c r="R261" s="5"/>
      <c r="S261" s="5"/>
      <c r="T261" s="5"/>
      <c r="U261" s="5"/>
      <c r="V261" s="5"/>
      <c r="W261" s="5"/>
      <c r="X261" s="5"/>
      <c r="Y261" s="5"/>
      <c r="AA261" s="571"/>
      <c r="AB261" s="571"/>
      <c r="AC261" s="571"/>
      <c r="AD261" s="571"/>
      <c r="AE261" s="571"/>
      <c r="AF261" s="571"/>
      <c r="AG261" s="571"/>
      <c r="AH261" s="571"/>
      <c r="AI261" s="571"/>
      <c r="AJ261" s="571"/>
      <c r="AK261" s="571"/>
      <c r="AL261" s="571"/>
      <c r="AM261" s="571"/>
      <c r="AN261" s="571"/>
    </row>
    <row r="262" spans="1:40" s="129" customFormat="1" ht="15.6" hidden="1">
      <c r="A262" s="1"/>
      <c r="B262" s="82"/>
      <c r="C262" s="72" t="s">
        <v>2612</v>
      </c>
      <c r="D262" s="1"/>
      <c r="E262" s="1"/>
      <c r="F262" s="1"/>
      <c r="G262" s="1"/>
      <c r="H262" s="3" t="s">
        <v>2613</v>
      </c>
      <c r="I262" s="390">
        <f ca="1">MAX(I259,I261)</f>
        <v>2761.6263719040003</v>
      </c>
      <c r="J262" s="1"/>
      <c r="K262" s="87"/>
      <c r="M262" s="391">
        <f ca="1">I262/$I$243</f>
        <v>12.920000000000002</v>
      </c>
      <c r="R262" s="5"/>
      <c r="S262" s="5"/>
      <c r="T262" s="5"/>
      <c r="U262" s="5"/>
      <c r="V262" s="5"/>
      <c r="W262" s="5"/>
      <c r="X262" s="5"/>
      <c r="Y262" s="5"/>
      <c r="AA262" s="571"/>
      <c r="AB262" s="571"/>
      <c r="AC262" s="571"/>
      <c r="AD262" s="571"/>
      <c r="AE262" s="571"/>
      <c r="AF262" s="571"/>
      <c r="AG262" s="571"/>
      <c r="AH262" s="571"/>
      <c r="AI262" s="571"/>
      <c r="AJ262" s="571"/>
      <c r="AK262" s="571"/>
      <c r="AL262" s="571"/>
      <c r="AM262" s="571"/>
      <c r="AN262" s="571"/>
    </row>
    <row r="263" spans="1:40" s="129" customFormat="1" ht="15.6" hidden="1">
      <c r="A263" s="1"/>
      <c r="B263" s="82"/>
      <c r="C263" s="72" t="s">
        <v>1830</v>
      </c>
      <c r="D263" s="1"/>
      <c r="E263" s="1"/>
      <c r="F263" s="1"/>
      <c r="G263" s="1"/>
      <c r="H263" s="3" t="s">
        <v>1827</v>
      </c>
      <c r="I263" s="390">
        <f ca="1">I258+I262</f>
        <v>8143.7374999040003</v>
      </c>
      <c r="J263" s="1"/>
      <c r="K263" s="87"/>
      <c r="M263" s="391">
        <f ca="1">I263/$I$243</f>
        <v>38.099682697561249</v>
      </c>
      <c r="R263" s="5"/>
      <c r="S263" s="5"/>
      <c r="T263" s="5"/>
      <c r="U263" s="5"/>
      <c r="V263" s="5"/>
      <c r="W263" s="5"/>
      <c r="X263" s="5"/>
      <c r="Y263" s="5"/>
      <c r="AA263" s="571"/>
      <c r="AB263" s="571"/>
      <c r="AC263" s="571"/>
      <c r="AD263" s="571"/>
      <c r="AE263" s="571"/>
      <c r="AF263" s="571"/>
      <c r="AG263" s="571"/>
      <c r="AH263" s="571"/>
      <c r="AI263" s="571"/>
      <c r="AJ263" s="571"/>
      <c r="AK263" s="571"/>
      <c r="AL263" s="571"/>
      <c r="AM263" s="571"/>
      <c r="AN263" s="571"/>
    </row>
    <row r="264" spans="1:40" s="129" customFormat="1" ht="15.6" hidden="1">
      <c r="A264" s="1"/>
      <c r="B264" s="82"/>
      <c r="C264" s="1" t="s">
        <v>1835</v>
      </c>
      <c r="D264" s="1"/>
      <c r="E264" s="1"/>
      <c r="F264" s="1"/>
      <c r="G264" s="1"/>
      <c r="H264" s="3" t="s">
        <v>1872</v>
      </c>
      <c r="I264" s="390">
        <f>IF(I251&gt;0,IF($I$247=$D$180,34,10),IF($I$247=$D$180,43,16))</f>
        <v>16</v>
      </c>
      <c r="J264" s="392" t="s">
        <v>1876</v>
      </c>
      <c r="K264" s="87"/>
      <c r="M264" s="391"/>
      <c r="R264" s="5"/>
      <c r="S264" s="5"/>
      <c r="T264" s="5"/>
      <c r="U264" s="5"/>
      <c r="V264" s="5"/>
      <c r="W264" s="5"/>
      <c r="X264" s="5"/>
      <c r="Y264" s="5"/>
      <c r="AA264" s="571"/>
      <c r="AB264" s="571"/>
      <c r="AC264" s="571"/>
      <c r="AD264" s="571"/>
      <c r="AE264" s="571"/>
      <c r="AF264" s="571"/>
      <c r="AG264" s="571"/>
      <c r="AH264" s="571"/>
      <c r="AI264" s="571"/>
      <c r="AJ264" s="571"/>
      <c r="AK264" s="571"/>
      <c r="AL264" s="571"/>
      <c r="AM264" s="571"/>
      <c r="AN264" s="571"/>
    </row>
    <row r="265" spans="1:40" s="129" customFormat="1" ht="15.6" hidden="1">
      <c r="A265" s="1"/>
      <c r="B265" s="82"/>
      <c r="C265" s="1" t="s">
        <v>1831</v>
      </c>
      <c r="D265" s="1"/>
      <c r="E265" s="1"/>
      <c r="F265" s="1"/>
      <c r="G265" s="1"/>
      <c r="H265" s="3" t="s">
        <v>1873</v>
      </c>
      <c r="I265" s="390">
        <f ca="1">I264*I243</f>
        <v>3419.9707392</v>
      </c>
      <c r="J265" s="1"/>
      <c r="K265" s="87"/>
      <c r="M265" s="391">
        <f ca="1">I265/$I$243</f>
        <v>16</v>
      </c>
      <c r="R265" s="5"/>
      <c r="S265" s="5"/>
      <c r="T265" s="5"/>
      <c r="U265" s="5"/>
      <c r="V265" s="5"/>
      <c r="W265" s="5"/>
      <c r="X265" s="5"/>
      <c r="Y265" s="5"/>
      <c r="AA265" s="571"/>
      <c r="AB265" s="571"/>
      <c r="AC265" s="571"/>
      <c r="AD265" s="571"/>
      <c r="AE265" s="571"/>
      <c r="AF265" s="571"/>
      <c r="AG265" s="571"/>
      <c r="AH265" s="571"/>
      <c r="AI265" s="571"/>
      <c r="AJ265" s="571"/>
      <c r="AK265" s="571"/>
      <c r="AL265" s="571"/>
      <c r="AM265" s="571"/>
      <c r="AN265" s="571"/>
    </row>
    <row r="266" spans="1:40" s="129" customFormat="1" ht="15.6" hidden="1">
      <c r="A266" s="1"/>
      <c r="B266" s="82"/>
      <c r="C266" s="72" t="s">
        <v>1837</v>
      </c>
      <c r="D266" s="72"/>
      <c r="E266" s="72"/>
      <c r="F266" s="72"/>
      <c r="G266" s="72"/>
      <c r="H266" s="99" t="s">
        <v>1838</v>
      </c>
      <c r="I266" s="393">
        <f ca="1">I263+I265</f>
        <v>11563.708239104</v>
      </c>
      <c r="J266" s="1"/>
      <c r="K266" s="87"/>
      <c r="M266" s="391">
        <f ca="1">I266/$I$243</f>
        <v>54.099682697561249</v>
      </c>
      <c r="R266" s="5"/>
      <c r="S266" s="5"/>
      <c r="T266" s="5"/>
      <c r="U266" s="5"/>
      <c r="V266" s="5"/>
      <c r="W266" s="5"/>
      <c r="X266" s="5"/>
      <c r="Y266" s="5"/>
      <c r="AA266" s="571"/>
      <c r="AB266" s="571"/>
      <c r="AC266" s="571"/>
      <c r="AD266" s="571"/>
      <c r="AE266" s="571"/>
      <c r="AF266" s="571"/>
      <c r="AG266" s="571"/>
      <c r="AH266" s="571"/>
      <c r="AI266" s="571"/>
      <c r="AJ266" s="571"/>
      <c r="AK266" s="571"/>
      <c r="AL266" s="571"/>
      <c r="AM266" s="571"/>
      <c r="AN266" s="571"/>
    </row>
    <row r="267" spans="1:40" s="129" customFormat="1" hidden="1">
      <c r="A267" s="1"/>
      <c r="B267" s="117"/>
      <c r="C267" s="86" t="s">
        <v>1836</v>
      </c>
      <c r="D267" s="86"/>
      <c r="E267" s="86"/>
      <c r="F267" s="86"/>
      <c r="G267" s="86"/>
      <c r="H267" s="108"/>
      <c r="I267" s="482"/>
      <c r="J267" s="1"/>
      <c r="K267" s="87"/>
      <c r="M267" s="391"/>
      <c r="R267" s="5"/>
      <c r="S267" s="5"/>
      <c r="T267" s="5"/>
      <c r="U267" s="5"/>
      <c r="V267" s="5"/>
      <c r="W267" s="5"/>
      <c r="X267" s="5"/>
      <c r="Y267" s="5"/>
      <c r="AA267" s="571"/>
      <c r="AB267" s="571"/>
      <c r="AC267" s="571"/>
      <c r="AD267" s="571"/>
      <c r="AE267" s="571"/>
      <c r="AF267" s="571"/>
      <c r="AG267" s="571"/>
      <c r="AH267" s="571"/>
      <c r="AI267" s="571"/>
      <c r="AJ267" s="571"/>
      <c r="AK267" s="571"/>
      <c r="AL267" s="571"/>
      <c r="AM267" s="571"/>
      <c r="AN267" s="571"/>
    </row>
    <row r="268" spans="1:40" s="129" customFormat="1">
      <c r="H268" s="129" t="s">
        <v>955</v>
      </c>
      <c r="R268" s="5"/>
      <c r="S268" s="5"/>
      <c r="T268" s="5"/>
      <c r="U268" s="5"/>
      <c r="V268" s="5"/>
      <c r="W268" s="5"/>
      <c r="X268" s="5"/>
      <c r="Y268" s="5"/>
      <c r="AA268" s="571"/>
      <c r="AB268" s="571"/>
      <c r="AC268" s="571"/>
      <c r="AD268" s="571"/>
      <c r="AE268" s="571"/>
      <c r="AF268" s="571"/>
      <c r="AG268" s="571"/>
      <c r="AH268" s="571"/>
      <c r="AI268" s="571"/>
      <c r="AJ268" s="571"/>
      <c r="AK268" s="571"/>
      <c r="AL268" s="571"/>
      <c r="AM268" s="571"/>
      <c r="AN268" s="571"/>
    </row>
    <row r="269" spans="1:40" ht="16.5" customHeight="1">
      <c r="B269" s="89" t="s">
        <v>3486</v>
      </c>
      <c r="C269" s="90"/>
      <c r="D269" s="90"/>
      <c r="E269" s="90"/>
      <c r="F269" s="90"/>
      <c r="G269" s="90"/>
      <c r="H269" s="90"/>
      <c r="I269" s="91"/>
      <c r="K269" s="87">
        <f>ROW(B270)</f>
        <v>270</v>
      </c>
      <c r="L269" s="87">
        <f>ROW(B307)</f>
        <v>307</v>
      </c>
      <c r="M269" s="8" t="s">
        <v>1898</v>
      </c>
      <c r="R269" s="5"/>
      <c r="S269" s="5"/>
      <c r="T269" s="5"/>
      <c r="U269" s="5"/>
      <c r="V269" s="5"/>
      <c r="W269" s="5"/>
      <c r="X269" s="5"/>
      <c r="Y269" s="5"/>
    </row>
    <row r="270" spans="1:40" ht="16.5" hidden="1" customHeight="1">
      <c r="B270" s="82" t="s">
        <v>1892</v>
      </c>
      <c r="H270" s="3"/>
      <c r="I270" s="389"/>
      <c r="K270" s="87"/>
      <c r="L270" s="394"/>
      <c r="M270" s="11"/>
      <c r="N270" s="11"/>
      <c r="O270" s="11"/>
      <c r="P270" s="11"/>
      <c r="Q270" s="11"/>
      <c r="R270" s="11"/>
      <c r="S270" s="11"/>
      <c r="T270" s="11"/>
      <c r="U270" s="11"/>
      <c r="V270" s="11"/>
      <c r="W270" s="11"/>
      <c r="X270" s="11"/>
    </row>
    <row r="271" spans="1:40" ht="16.5" hidden="1" customHeight="1">
      <c r="B271" s="388" t="s">
        <v>1893</v>
      </c>
      <c r="H271" s="3"/>
      <c r="I271" s="389"/>
      <c r="K271" s="87"/>
    </row>
    <row r="272" spans="1:40" ht="16.5" hidden="1" customHeight="1">
      <c r="B272" s="388"/>
      <c r="C272" s="72" t="s">
        <v>1897</v>
      </c>
      <c r="D272" s="72"/>
      <c r="E272" s="72"/>
      <c r="F272" s="72"/>
      <c r="G272" s="72" t="s">
        <v>1895</v>
      </c>
      <c r="I272" s="397"/>
      <c r="K272" s="87"/>
      <c r="L272" s="394"/>
      <c r="M272" s="8" t="s">
        <v>116</v>
      </c>
      <c r="N272" s="8" t="s">
        <v>117</v>
      </c>
      <c r="O272" s="8" t="s">
        <v>118</v>
      </c>
      <c r="P272" s="8" t="s">
        <v>119</v>
      </c>
      <c r="Q272" s="8" t="s">
        <v>120</v>
      </c>
      <c r="R272" s="8" t="s">
        <v>121</v>
      </c>
      <c r="S272" s="8" t="s">
        <v>122</v>
      </c>
      <c r="T272" s="8" t="s">
        <v>123</v>
      </c>
      <c r="U272" s="8" t="s">
        <v>124</v>
      </c>
      <c r="V272" s="8" t="s">
        <v>125</v>
      </c>
      <c r="W272" s="8" t="s">
        <v>126</v>
      </c>
      <c r="X272" s="8" t="s">
        <v>127</v>
      </c>
    </row>
    <row r="273" spans="1:40" ht="16.5" hidden="1" customHeight="1">
      <c r="B273" s="82"/>
      <c r="G273" s="1" t="s">
        <v>128</v>
      </c>
      <c r="H273" s="3" t="s">
        <v>2994</v>
      </c>
      <c r="I273" s="110" t="s">
        <v>79</v>
      </c>
      <c r="K273" s="87"/>
      <c r="M273" s="395">
        <v>29</v>
      </c>
      <c r="N273" s="395">
        <v>44</v>
      </c>
      <c r="O273" s="395">
        <v>97</v>
      </c>
      <c r="P273" s="395">
        <v>189</v>
      </c>
      <c r="Q273" s="395">
        <v>221</v>
      </c>
      <c r="R273" s="395">
        <v>241</v>
      </c>
      <c r="S273" s="395">
        <v>210</v>
      </c>
      <c r="T273" s="395">
        <v>180</v>
      </c>
      <c r="U273" s="395">
        <v>127</v>
      </c>
      <c r="V273" s="395">
        <v>77</v>
      </c>
      <c r="W273" s="395">
        <v>31</v>
      </c>
      <c r="X273" s="395">
        <v>17</v>
      </c>
    </row>
    <row r="274" spans="1:40" ht="15.6" hidden="1">
      <c r="B274" s="82"/>
      <c r="G274" s="1" t="s">
        <v>129</v>
      </c>
      <c r="H274" s="3" t="s">
        <v>2994</v>
      </c>
      <c r="I274" s="110" t="s">
        <v>79</v>
      </c>
      <c r="K274" s="87"/>
      <c r="M274" s="396">
        <v>50</v>
      </c>
      <c r="N274" s="396">
        <v>55</v>
      </c>
      <c r="O274" s="396">
        <v>121</v>
      </c>
      <c r="P274" s="396">
        <v>217</v>
      </c>
      <c r="Q274" s="396">
        <v>230</v>
      </c>
      <c r="R274" s="396">
        <v>241</v>
      </c>
      <c r="S274" s="396">
        <v>208</v>
      </c>
      <c r="T274" s="396">
        <v>199</v>
      </c>
      <c r="U274" s="396">
        <v>157</v>
      </c>
      <c r="V274" s="396">
        <v>110</v>
      </c>
      <c r="W274" s="396">
        <v>41</v>
      </c>
      <c r="X274" s="396">
        <v>26</v>
      </c>
    </row>
    <row r="275" spans="1:40" ht="15.6" hidden="1">
      <c r="B275" s="82"/>
      <c r="G275" s="1" t="s">
        <v>130</v>
      </c>
      <c r="H275" s="3" t="s">
        <v>2994</v>
      </c>
      <c r="I275" s="110" t="s">
        <v>79</v>
      </c>
      <c r="K275" s="87"/>
      <c r="M275" s="11">
        <v>57</v>
      </c>
      <c r="N275" s="11">
        <v>56</v>
      </c>
      <c r="O275" s="11">
        <v>124</v>
      </c>
      <c r="P275" s="11">
        <v>214</v>
      </c>
      <c r="Q275" s="11">
        <v>218</v>
      </c>
      <c r="R275" s="11">
        <v>224</v>
      </c>
      <c r="S275" s="11">
        <v>194</v>
      </c>
      <c r="T275" s="11">
        <v>193</v>
      </c>
      <c r="U275" s="11">
        <v>160</v>
      </c>
      <c r="V275" s="11">
        <v>119</v>
      </c>
      <c r="W275" s="11">
        <v>44</v>
      </c>
      <c r="X275" s="11">
        <v>29</v>
      </c>
    </row>
    <row r="276" spans="1:40" ht="15.6" hidden="1">
      <c r="B276" s="82"/>
      <c r="G276" s="1" t="s">
        <v>131</v>
      </c>
      <c r="H276" s="3" t="s">
        <v>2994</v>
      </c>
      <c r="I276" s="110" t="s">
        <v>79</v>
      </c>
      <c r="K276" s="87"/>
      <c r="M276" s="11">
        <v>61</v>
      </c>
      <c r="N276" s="11">
        <v>55</v>
      </c>
      <c r="O276" s="11">
        <v>121</v>
      </c>
      <c r="P276" s="11">
        <v>201</v>
      </c>
      <c r="Q276" s="11">
        <v>196</v>
      </c>
      <c r="R276" s="11">
        <v>197</v>
      </c>
      <c r="S276" s="11">
        <v>172</v>
      </c>
      <c r="T276" s="11">
        <v>178</v>
      </c>
      <c r="U276" s="11">
        <v>155</v>
      </c>
      <c r="V276" s="11">
        <v>121</v>
      </c>
      <c r="W276" s="11">
        <v>44</v>
      </c>
      <c r="X276" s="11">
        <v>31</v>
      </c>
    </row>
    <row r="277" spans="1:40" ht="15.6" hidden="1">
      <c r="B277" s="82"/>
      <c r="G277" s="1" t="s">
        <v>132</v>
      </c>
      <c r="H277" s="3" t="s">
        <v>2994</v>
      </c>
      <c r="I277" s="110" t="s">
        <v>79</v>
      </c>
      <c r="J277" s="5"/>
      <c r="K277" s="87"/>
      <c r="M277" s="395">
        <v>59</v>
      </c>
      <c r="N277" s="395">
        <v>47</v>
      </c>
      <c r="O277" s="395">
        <v>98</v>
      </c>
      <c r="P277" s="395">
        <v>147</v>
      </c>
      <c r="Q277" s="395">
        <v>132</v>
      </c>
      <c r="R277" s="395">
        <v>124</v>
      </c>
      <c r="S277" s="395">
        <v>113</v>
      </c>
      <c r="T277" s="395">
        <v>127</v>
      </c>
      <c r="U277" s="395">
        <v>123</v>
      </c>
      <c r="V277" s="395">
        <v>106</v>
      </c>
      <c r="W277" s="395">
        <v>39</v>
      </c>
      <c r="X277" s="395">
        <v>29</v>
      </c>
    </row>
    <row r="278" spans="1:40" ht="15.6" hidden="1">
      <c r="B278" s="82"/>
      <c r="G278" s="1" t="s">
        <v>956</v>
      </c>
      <c r="H278" s="3" t="s">
        <v>2994</v>
      </c>
      <c r="I278" s="110" t="s">
        <v>79</v>
      </c>
      <c r="J278" s="5"/>
      <c r="K278" s="87"/>
      <c r="M278" s="396">
        <v>46</v>
      </c>
      <c r="N278" s="396">
        <v>52</v>
      </c>
      <c r="O278" s="396">
        <v>114</v>
      </c>
      <c r="P278" s="396">
        <v>214</v>
      </c>
      <c r="Q278" s="396">
        <v>227</v>
      </c>
      <c r="R278" s="396">
        <v>242</v>
      </c>
      <c r="S278" s="396">
        <v>212</v>
      </c>
      <c r="T278" s="396">
        <v>194</v>
      </c>
      <c r="U278" s="396">
        <v>147</v>
      </c>
      <c r="V278" s="396">
        <v>102</v>
      </c>
      <c r="W278" s="396">
        <v>38</v>
      </c>
      <c r="X278" s="396">
        <v>23</v>
      </c>
    </row>
    <row r="279" spans="1:40" ht="15.6" hidden="1">
      <c r="B279" s="82"/>
      <c r="G279" s="1" t="s">
        <v>957</v>
      </c>
      <c r="H279" s="3" t="s">
        <v>2994</v>
      </c>
      <c r="I279" s="110" t="s">
        <v>79</v>
      </c>
      <c r="K279" s="87"/>
      <c r="M279" s="11">
        <v>51</v>
      </c>
      <c r="N279" s="11">
        <v>53</v>
      </c>
      <c r="O279" s="11">
        <v>116</v>
      </c>
      <c r="P279" s="11">
        <v>212</v>
      </c>
      <c r="Q279" s="11">
        <v>217</v>
      </c>
      <c r="R279" s="11">
        <v>229</v>
      </c>
      <c r="S279" s="11">
        <v>201</v>
      </c>
      <c r="T279" s="11">
        <v>188</v>
      </c>
      <c r="U279" s="11">
        <v>148</v>
      </c>
      <c r="V279" s="11">
        <v>107</v>
      </c>
      <c r="W279" s="11">
        <v>39</v>
      </c>
      <c r="X279" s="11">
        <v>25</v>
      </c>
    </row>
    <row r="280" spans="1:40" s="129" customFormat="1" ht="15.6" hidden="1">
      <c r="A280" s="1"/>
      <c r="B280" s="82"/>
      <c r="C280" s="1"/>
      <c r="D280" s="1"/>
      <c r="E280" s="1"/>
      <c r="F280" s="1"/>
      <c r="G280" s="1" t="s">
        <v>958</v>
      </c>
      <c r="H280" s="3" t="s">
        <v>2994</v>
      </c>
      <c r="I280" s="110" t="s">
        <v>79</v>
      </c>
      <c r="J280" s="1"/>
      <c r="K280" s="87"/>
      <c r="M280" s="11">
        <v>54</v>
      </c>
      <c r="N280" s="11">
        <v>51</v>
      </c>
      <c r="O280" s="11">
        <v>112</v>
      </c>
      <c r="P280" s="11">
        <v>201</v>
      </c>
      <c r="Q280" s="11">
        <v>198</v>
      </c>
      <c r="R280" s="11">
        <v>207</v>
      </c>
      <c r="S280" s="11">
        <v>183</v>
      </c>
      <c r="T280" s="11">
        <v>175</v>
      </c>
      <c r="U280" s="11">
        <v>141</v>
      </c>
      <c r="V280" s="11">
        <v>107</v>
      </c>
      <c r="W280" s="11">
        <v>38</v>
      </c>
      <c r="X280" s="11">
        <v>26</v>
      </c>
      <c r="AA280" s="571"/>
      <c r="AB280" s="571"/>
      <c r="AC280" s="571"/>
      <c r="AD280" s="571"/>
      <c r="AE280" s="571"/>
      <c r="AF280" s="571"/>
      <c r="AG280" s="571"/>
      <c r="AH280" s="571"/>
      <c r="AI280" s="571"/>
      <c r="AJ280" s="571"/>
      <c r="AK280" s="571"/>
      <c r="AL280" s="571"/>
      <c r="AM280" s="571"/>
      <c r="AN280" s="571"/>
    </row>
    <row r="281" spans="1:40" s="129" customFormat="1" ht="15.6" hidden="1">
      <c r="A281" s="1"/>
      <c r="B281" s="82"/>
      <c r="C281" s="1"/>
      <c r="D281" s="1"/>
      <c r="E281" s="1"/>
      <c r="F281" s="1"/>
      <c r="G281" s="1" t="s">
        <v>959</v>
      </c>
      <c r="H281" s="3" t="s">
        <v>2994</v>
      </c>
      <c r="I281" s="110" t="s">
        <v>79</v>
      </c>
      <c r="J281" s="1"/>
      <c r="K281" s="87"/>
      <c r="M281" s="395">
        <v>50</v>
      </c>
      <c r="N281" s="395">
        <v>42</v>
      </c>
      <c r="O281" s="395">
        <v>90</v>
      </c>
      <c r="P281" s="395">
        <v>156</v>
      </c>
      <c r="Q281" s="395">
        <v>143</v>
      </c>
      <c r="R281" s="395">
        <v>146</v>
      </c>
      <c r="S281" s="395">
        <v>132</v>
      </c>
      <c r="T281" s="395">
        <v>130</v>
      </c>
      <c r="U281" s="395">
        <v>111</v>
      </c>
      <c r="V281" s="395">
        <v>91</v>
      </c>
      <c r="W281" s="395">
        <v>32</v>
      </c>
      <c r="X281" s="395">
        <v>23</v>
      </c>
      <c r="AA281" s="571"/>
      <c r="AB281" s="571"/>
      <c r="AC281" s="571"/>
      <c r="AD281" s="571"/>
      <c r="AE281" s="571"/>
      <c r="AF281" s="571"/>
      <c r="AG281" s="571"/>
      <c r="AH281" s="571"/>
      <c r="AI281" s="571"/>
      <c r="AJ281" s="571"/>
      <c r="AK281" s="571"/>
      <c r="AL281" s="571"/>
      <c r="AM281" s="571"/>
      <c r="AN281" s="571"/>
    </row>
    <row r="282" spans="1:40" s="129" customFormat="1" ht="15.6" hidden="1">
      <c r="A282" s="1"/>
      <c r="B282" s="82"/>
      <c r="C282" s="1"/>
      <c r="D282" s="1"/>
      <c r="E282" s="1"/>
      <c r="F282" s="1"/>
      <c r="G282" s="1" t="s">
        <v>960</v>
      </c>
      <c r="H282" s="3" t="s">
        <v>2994</v>
      </c>
      <c r="I282" s="110" t="s">
        <v>79</v>
      </c>
      <c r="J282" s="5"/>
      <c r="M282" s="396">
        <v>40</v>
      </c>
      <c r="N282" s="396">
        <v>49</v>
      </c>
      <c r="O282" s="396">
        <v>110</v>
      </c>
      <c r="P282" s="396">
        <v>201</v>
      </c>
      <c r="Q282" s="396">
        <v>222</v>
      </c>
      <c r="R282" s="396">
        <v>234</v>
      </c>
      <c r="S282" s="396">
        <v>201</v>
      </c>
      <c r="T282" s="396">
        <v>188</v>
      </c>
      <c r="U282" s="396">
        <v>145</v>
      </c>
      <c r="V282" s="396">
        <v>96</v>
      </c>
      <c r="W282" s="396">
        <v>37</v>
      </c>
      <c r="X282" s="396">
        <v>23</v>
      </c>
      <c r="AA282" s="571"/>
      <c r="AB282" s="571"/>
      <c r="AC282" s="571"/>
      <c r="AD282" s="571"/>
      <c r="AE282" s="571"/>
      <c r="AF282" s="571"/>
      <c r="AG282" s="571"/>
      <c r="AH282" s="571"/>
      <c r="AI282" s="571"/>
      <c r="AJ282" s="571"/>
      <c r="AK282" s="571"/>
      <c r="AL282" s="571"/>
      <c r="AM282" s="571"/>
      <c r="AN282" s="571"/>
    </row>
    <row r="283" spans="1:40" s="129" customFormat="1" ht="15.6" hidden="1">
      <c r="A283" s="1"/>
      <c r="B283" s="82"/>
      <c r="C283" s="1"/>
      <c r="D283" s="1"/>
      <c r="E283" s="1"/>
      <c r="F283" s="1"/>
      <c r="G283" s="1" t="s">
        <v>961</v>
      </c>
      <c r="H283" s="3" t="s">
        <v>2994</v>
      </c>
      <c r="I283" s="110" t="s">
        <v>79</v>
      </c>
      <c r="J283" s="5"/>
      <c r="M283" s="11">
        <v>43</v>
      </c>
      <c r="N283" s="11">
        <v>48</v>
      </c>
      <c r="O283" s="11">
        <v>110</v>
      </c>
      <c r="P283" s="11">
        <v>195</v>
      </c>
      <c r="Q283" s="11">
        <v>209</v>
      </c>
      <c r="R283" s="11">
        <v>218</v>
      </c>
      <c r="S283" s="11">
        <v>188</v>
      </c>
      <c r="T283" s="11">
        <v>181</v>
      </c>
      <c r="U283" s="11">
        <v>145</v>
      </c>
      <c r="V283" s="11">
        <v>99</v>
      </c>
      <c r="W283" s="11">
        <v>38</v>
      </c>
      <c r="X283" s="11">
        <v>24</v>
      </c>
      <c r="AA283" s="571"/>
      <c r="AB283" s="571"/>
      <c r="AC283" s="571"/>
      <c r="AD283" s="571"/>
      <c r="AE283" s="571"/>
      <c r="AF283" s="571"/>
      <c r="AG283" s="571"/>
      <c r="AH283" s="571"/>
      <c r="AI283" s="571"/>
      <c r="AJ283" s="571"/>
      <c r="AK283" s="571"/>
      <c r="AL283" s="571"/>
      <c r="AM283" s="571"/>
      <c r="AN283" s="571"/>
    </row>
    <row r="284" spans="1:40" s="129" customFormat="1" ht="15.6" hidden="1">
      <c r="A284" s="1"/>
      <c r="B284" s="82"/>
      <c r="C284" s="1"/>
      <c r="D284" s="1"/>
      <c r="E284" s="1"/>
      <c r="F284" s="1"/>
      <c r="G284" s="1" t="s">
        <v>962</v>
      </c>
      <c r="H284" s="3" t="s">
        <v>2994</v>
      </c>
      <c r="I284" s="110" t="s">
        <v>79</v>
      </c>
      <c r="J284" s="5"/>
      <c r="M284" s="11">
        <v>44</v>
      </c>
      <c r="N284" s="11">
        <v>46</v>
      </c>
      <c r="O284" s="11">
        <v>105</v>
      </c>
      <c r="P284" s="11">
        <v>181</v>
      </c>
      <c r="Q284" s="11">
        <v>190</v>
      </c>
      <c r="R284" s="11">
        <v>195</v>
      </c>
      <c r="S284" s="11">
        <v>169</v>
      </c>
      <c r="T284" s="11">
        <v>167</v>
      </c>
      <c r="U284" s="11">
        <v>138</v>
      </c>
      <c r="V284" s="11">
        <v>97</v>
      </c>
      <c r="W284" s="11">
        <v>37</v>
      </c>
      <c r="X284" s="11">
        <v>25</v>
      </c>
      <c r="AA284" s="571"/>
      <c r="AB284" s="571"/>
      <c r="AC284" s="571"/>
      <c r="AD284" s="571"/>
      <c r="AE284" s="571"/>
      <c r="AF284" s="571"/>
      <c r="AG284" s="571"/>
      <c r="AH284" s="571"/>
      <c r="AI284" s="571"/>
      <c r="AJ284" s="571"/>
      <c r="AK284" s="571"/>
      <c r="AL284" s="571"/>
      <c r="AM284" s="571"/>
      <c r="AN284" s="571"/>
    </row>
    <row r="285" spans="1:40" s="129" customFormat="1" ht="15.6" hidden="1">
      <c r="A285" s="1"/>
      <c r="B285" s="82"/>
      <c r="C285" s="1"/>
      <c r="D285" s="1"/>
      <c r="E285" s="1"/>
      <c r="F285" s="1"/>
      <c r="G285" s="1" t="s">
        <v>963</v>
      </c>
      <c r="H285" s="3" t="s">
        <v>2994</v>
      </c>
      <c r="I285" s="110" t="s">
        <v>79</v>
      </c>
      <c r="J285" s="5"/>
      <c r="M285" s="395">
        <v>40</v>
      </c>
      <c r="N285" s="395">
        <v>36</v>
      </c>
      <c r="O285" s="395">
        <v>83</v>
      </c>
      <c r="P285" s="395">
        <v>136</v>
      </c>
      <c r="Q285" s="395">
        <v>137</v>
      </c>
      <c r="R285" s="395">
        <v>135</v>
      </c>
      <c r="S285" s="395">
        <v>120</v>
      </c>
      <c r="T285" s="395">
        <v>123</v>
      </c>
      <c r="U285" s="395">
        <v>108</v>
      </c>
      <c r="V285" s="395">
        <v>80</v>
      </c>
      <c r="W285" s="395">
        <v>31</v>
      </c>
      <c r="X285" s="395">
        <v>22</v>
      </c>
      <c r="AA285" s="571"/>
      <c r="AB285" s="571"/>
      <c r="AC285" s="571"/>
      <c r="AD285" s="571"/>
      <c r="AE285" s="571"/>
      <c r="AF285" s="571"/>
      <c r="AG285" s="571"/>
      <c r="AH285" s="571"/>
      <c r="AI285" s="571"/>
      <c r="AJ285" s="571"/>
      <c r="AK285" s="571"/>
      <c r="AL285" s="571"/>
      <c r="AM285" s="571"/>
      <c r="AN285" s="571"/>
    </row>
    <row r="286" spans="1:40" s="129" customFormat="1" ht="15.6" hidden="1">
      <c r="A286" s="1"/>
      <c r="B286" s="82"/>
      <c r="C286" s="1"/>
      <c r="D286" s="1"/>
      <c r="E286" s="1"/>
      <c r="F286" s="1"/>
      <c r="G286" s="1" t="s">
        <v>964</v>
      </c>
      <c r="H286" s="3" t="s">
        <v>2994</v>
      </c>
      <c r="I286" s="110" t="s">
        <v>79</v>
      </c>
      <c r="J286" s="5"/>
      <c r="M286" s="396">
        <v>31</v>
      </c>
      <c r="N286" s="396">
        <v>43</v>
      </c>
      <c r="O286" s="396">
        <v>95</v>
      </c>
      <c r="P286" s="396">
        <v>189</v>
      </c>
      <c r="Q286" s="396">
        <v>211</v>
      </c>
      <c r="R286" s="396">
        <v>231</v>
      </c>
      <c r="S286" s="396">
        <v>205</v>
      </c>
      <c r="T286" s="396">
        <v>173</v>
      </c>
      <c r="U286" s="396">
        <v>122</v>
      </c>
      <c r="V286" s="396">
        <v>77</v>
      </c>
      <c r="W286" s="396">
        <v>30</v>
      </c>
      <c r="X286" s="396">
        <v>17</v>
      </c>
      <c r="AA286" s="571"/>
      <c r="AB286" s="571"/>
      <c r="AC286" s="571"/>
      <c r="AD286" s="571"/>
      <c r="AE286" s="571"/>
      <c r="AF286" s="571"/>
      <c r="AG286" s="571"/>
      <c r="AH286" s="571"/>
      <c r="AI286" s="571"/>
      <c r="AJ286" s="571"/>
      <c r="AK286" s="571"/>
      <c r="AL286" s="571"/>
      <c r="AM286" s="571"/>
      <c r="AN286" s="571"/>
    </row>
    <row r="287" spans="1:40" s="129" customFormat="1" ht="15.6" hidden="1">
      <c r="A287" s="1"/>
      <c r="B287" s="82"/>
      <c r="C287" s="1"/>
      <c r="D287" s="1"/>
      <c r="E287" s="1"/>
      <c r="F287" s="1"/>
      <c r="G287" s="1" t="s">
        <v>965</v>
      </c>
      <c r="H287" s="3" t="s">
        <v>2994</v>
      </c>
      <c r="I287" s="110" t="s">
        <v>79</v>
      </c>
      <c r="J287" s="5"/>
      <c r="M287" s="11">
        <v>31</v>
      </c>
      <c r="N287" s="11">
        <v>41</v>
      </c>
      <c r="O287" s="11">
        <v>91</v>
      </c>
      <c r="P287" s="11">
        <v>181</v>
      </c>
      <c r="Q287" s="11">
        <v>198</v>
      </c>
      <c r="R287" s="11">
        <v>217</v>
      </c>
      <c r="S287" s="11">
        <v>194</v>
      </c>
      <c r="T287" s="11">
        <v>163</v>
      </c>
      <c r="U287" s="11">
        <v>115</v>
      </c>
      <c r="V287" s="11">
        <v>74</v>
      </c>
      <c r="W287" s="11">
        <v>28</v>
      </c>
      <c r="X287" s="11">
        <v>16</v>
      </c>
      <c r="AA287" s="571"/>
      <c r="AB287" s="571"/>
      <c r="AC287" s="571"/>
      <c r="AD287" s="571"/>
      <c r="AE287" s="571"/>
      <c r="AF287" s="571"/>
      <c r="AG287" s="571"/>
      <c r="AH287" s="571"/>
      <c r="AI287" s="571"/>
      <c r="AJ287" s="571"/>
      <c r="AK287" s="571"/>
      <c r="AL287" s="571"/>
      <c r="AM287" s="571"/>
      <c r="AN287" s="571"/>
    </row>
    <row r="288" spans="1:40" s="129" customFormat="1" ht="15.6" hidden="1">
      <c r="A288" s="1"/>
      <c r="B288" s="82"/>
      <c r="C288" s="1"/>
      <c r="D288" s="1"/>
      <c r="E288" s="1"/>
      <c r="F288" s="1"/>
      <c r="G288" s="1" t="s">
        <v>967</v>
      </c>
      <c r="H288" s="3" t="s">
        <v>2994</v>
      </c>
      <c r="I288" s="110" t="s">
        <v>79</v>
      </c>
      <c r="J288" s="5"/>
      <c r="M288" s="11">
        <v>30</v>
      </c>
      <c r="N288" s="11">
        <v>38</v>
      </c>
      <c r="O288" s="11">
        <v>85</v>
      </c>
      <c r="P288" s="11">
        <v>170</v>
      </c>
      <c r="Q288" s="11">
        <v>180</v>
      </c>
      <c r="R288" s="11">
        <v>198</v>
      </c>
      <c r="S288" s="11">
        <v>179</v>
      </c>
      <c r="T288" s="11">
        <v>150</v>
      </c>
      <c r="U288" s="11">
        <v>106</v>
      </c>
      <c r="V288" s="11">
        <v>70</v>
      </c>
      <c r="W288" s="11">
        <v>26</v>
      </c>
      <c r="X288" s="11">
        <v>15</v>
      </c>
      <c r="AA288" s="571"/>
      <c r="AB288" s="571"/>
      <c r="AC288" s="571"/>
      <c r="AD288" s="571"/>
      <c r="AE288" s="571"/>
      <c r="AF288" s="571"/>
      <c r="AG288" s="571"/>
      <c r="AH288" s="571"/>
      <c r="AI288" s="571"/>
      <c r="AJ288" s="571"/>
      <c r="AK288" s="571"/>
      <c r="AL288" s="571"/>
      <c r="AM288" s="571"/>
      <c r="AN288" s="571"/>
    </row>
    <row r="289" spans="1:40" s="129" customFormat="1" ht="15.6" hidden="1">
      <c r="A289" s="1"/>
      <c r="B289" s="82"/>
      <c r="C289" s="1"/>
      <c r="D289" s="1"/>
      <c r="E289" s="1"/>
      <c r="F289" s="1"/>
      <c r="G289" s="1" t="s">
        <v>966</v>
      </c>
      <c r="H289" s="3" t="s">
        <v>2994</v>
      </c>
      <c r="I289" s="110" t="s">
        <v>79</v>
      </c>
      <c r="J289" s="5"/>
      <c r="M289" s="395">
        <v>25</v>
      </c>
      <c r="N289" s="395">
        <v>29</v>
      </c>
      <c r="O289" s="395">
        <v>68</v>
      </c>
      <c r="P289" s="395">
        <v>134</v>
      </c>
      <c r="Q289" s="395">
        <v>137</v>
      </c>
      <c r="R289" s="395">
        <v>150</v>
      </c>
      <c r="S289" s="395">
        <v>138</v>
      </c>
      <c r="T289" s="395">
        <v>115</v>
      </c>
      <c r="U289" s="395">
        <v>83</v>
      </c>
      <c r="V289" s="395">
        <v>55</v>
      </c>
      <c r="W289" s="395">
        <v>20</v>
      </c>
      <c r="X289" s="395">
        <v>12</v>
      </c>
      <c r="AA289" s="571"/>
      <c r="AB289" s="571"/>
      <c r="AC289" s="571"/>
      <c r="AD289" s="571"/>
      <c r="AE289" s="571"/>
      <c r="AF289" s="571"/>
      <c r="AG289" s="571"/>
      <c r="AH289" s="571"/>
      <c r="AI289" s="571"/>
      <c r="AJ289" s="571"/>
      <c r="AK289" s="571"/>
      <c r="AL289" s="571"/>
      <c r="AM289" s="571"/>
      <c r="AN289" s="571"/>
    </row>
    <row r="290" spans="1:40" s="129" customFormat="1" ht="15.6" hidden="1">
      <c r="A290" s="1"/>
      <c r="B290" s="82"/>
      <c r="C290" s="1"/>
      <c r="D290" s="1"/>
      <c r="E290" s="1"/>
      <c r="F290" s="1"/>
      <c r="G290" s="1" t="s">
        <v>968</v>
      </c>
      <c r="H290" s="3" t="s">
        <v>2994</v>
      </c>
      <c r="I290" s="110" t="s">
        <v>79</v>
      </c>
      <c r="J290" s="392"/>
      <c r="M290" s="396">
        <v>25</v>
      </c>
      <c r="N290" s="396">
        <v>40</v>
      </c>
      <c r="O290" s="396">
        <v>90</v>
      </c>
      <c r="P290" s="396">
        <v>172</v>
      </c>
      <c r="Q290" s="396">
        <v>202</v>
      </c>
      <c r="R290" s="396">
        <v>219</v>
      </c>
      <c r="S290" s="396">
        <v>188</v>
      </c>
      <c r="T290" s="396">
        <v>165</v>
      </c>
      <c r="U290" s="396">
        <v>120</v>
      </c>
      <c r="V290" s="396">
        <v>70</v>
      </c>
      <c r="W290" s="396">
        <v>29</v>
      </c>
      <c r="X290" s="396">
        <v>16</v>
      </c>
      <c r="AA290" s="571"/>
      <c r="AB290" s="571"/>
      <c r="AC290" s="571"/>
      <c r="AD290" s="571"/>
      <c r="AE290" s="571"/>
      <c r="AF290" s="571"/>
      <c r="AG290" s="571"/>
      <c r="AH290" s="571"/>
      <c r="AI290" s="571"/>
      <c r="AJ290" s="571"/>
      <c r="AK290" s="571"/>
      <c r="AL290" s="571"/>
      <c r="AM290" s="571"/>
      <c r="AN290" s="571"/>
    </row>
    <row r="291" spans="1:40" s="129" customFormat="1" ht="15.6" hidden="1">
      <c r="A291" s="1"/>
      <c r="B291" s="82"/>
      <c r="C291" s="1"/>
      <c r="D291" s="1"/>
      <c r="E291" s="1"/>
      <c r="F291" s="1"/>
      <c r="G291" s="1" t="s">
        <v>969</v>
      </c>
      <c r="H291" s="3" t="s">
        <v>2994</v>
      </c>
      <c r="I291" s="110" t="s">
        <v>79</v>
      </c>
      <c r="J291" s="5"/>
      <c r="M291" s="11">
        <v>24</v>
      </c>
      <c r="N291" s="11">
        <v>36</v>
      </c>
      <c r="O291" s="11">
        <v>84</v>
      </c>
      <c r="P291" s="11">
        <v>159</v>
      </c>
      <c r="Q291" s="11">
        <v>187</v>
      </c>
      <c r="R291" s="11">
        <v>201</v>
      </c>
      <c r="S291" s="11">
        <v>174</v>
      </c>
      <c r="T291" s="11">
        <v>153</v>
      </c>
      <c r="U291" s="11">
        <v>112</v>
      </c>
      <c r="V291" s="11">
        <v>65</v>
      </c>
      <c r="W291" s="11">
        <v>27</v>
      </c>
      <c r="X291" s="11">
        <v>16</v>
      </c>
      <c r="AA291" s="571"/>
      <c r="AB291" s="571"/>
      <c r="AC291" s="571"/>
      <c r="AD291" s="571"/>
      <c r="AE291" s="571"/>
      <c r="AF291" s="571"/>
      <c r="AG291" s="571"/>
      <c r="AH291" s="571"/>
      <c r="AI291" s="571"/>
      <c r="AJ291" s="571"/>
      <c r="AK291" s="571"/>
      <c r="AL291" s="571"/>
      <c r="AM291" s="571"/>
      <c r="AN291" s="571"/>
    </row>
    <row r="292" spans="1:40" s="129" customFormat="1" ht="15.6" hidden="1">
      <c r="A292" s="1"/>
      <c r="B292" s="82"/>
      <c r="C292" s="1"/>
      <c r="D292" s="1"/>
      <c r="E292" s="1"/>
      <c r="F292" s="1"/>
      <c r="G292" s="1" t="s">
        <v>970</v>
      </c>
      <c r="H292" s="3" t="s">
        <v>2994</v>
      </c>
      <c r="I292" s="110" t="s">
        <v>79</v>
      </c>
      <c r="J292" s="1"/>
      <c r="K292" s="87"/>
      <c r="M292" s="11">
        <v>22</v>
      </c>
      <c r="N292" s="11">
        <v>33</v>
      </c>
      <c r="O292" s="11">
        <v>78</v>
      </c>
      <c r="P292" s="11">
        <v>146</v>
      </c>
      <c r="Q292" s="11">
        <v>169</v>
      </c>
      <c r="R292" s="11">
        <v>181</v>
      </c>
      <c r="S292" s="11">
        <v>157</v>
      </c>
      <c r="T292" s="11">
        <v>139</v>
      </c>
      <c r="U292" s="11">
        <v>103</v>
      </c>
      <c r="V292" s="11">
        <v>60</v>
      </c>
      <c r="W292" s="11">
        <v>25</v>
      </c>
      <c r="X292" s="11">
        <v>14</v>
      </c>
      <c r="AA292" s="571"/>
      <c r="AB292" s="571"/>
      <c r="AC292" s="571"/>
      <c r="AD292" s="571"/>
      <c r="AE292" s="571"/>
      <c r="AF292" s="571"/>
      <c r="AG292" s="571"/>
      <c r="AH292" s="571"/>
      <c r="AI292" s="571"/>
      <c r="AJ292" s="571"/>
      <c r="AK292" s="571"/>
      <c r="AL292" s="571"/>
      <c r="AM292" s="571"/>
      <c r="AN292" s="571"/>
    </row>
    <row r="293" spans="1:40" s="129" customFormat="1" ht="15.6" hidden="1">
      <c r="A293" s="1"/>
      <c r="B293" s="82"/>
      <c r="C293" s="1"/>
      <c r="D293" s="1"/>
      <c r="E293" s="1"/>
      <c r="F293" s="1"/>
      <c r="G293" s="1" t="s">
        <v>971</v>
      </c>
      <c r="H293" s="3" t="s">
        <v>2994</v>
      </c>
      <c r="I293" s="110" t="s">
        <v>79</v>
      </c>
      <c r="J293" s="1"/>
      <c r="K293" s="87"/>
      <c r="M293" s="395">
        <v>17</v>
      </c>
      <c r="N293" s="395">
        <v>24</v>
      </c>
      <c r="O293" s="395">
        <v>60</v>
      </c>
      <c r="P293" s="395">
        <v>114</v>
      </c>
      <c r="Q293" s="395">
        <v>127</v>
      </c>
      <c r="R293" s="395">
        <v>136</v>
      </c>
      <c r="S293" s="395">
        <v>117</v>
      </c>
      <c r="T293" s="395">
        <v>105</v>
      </c>
      <c r="U293" s="395">
        <v>79</v>
      </c>
      <c r="V293" s="395">
        <v>47</v>
      </c>
      <c r="W293" s="395">
        <v>19</v>
      </c>
      <c r="X293" s="395">
        <v>11</v>
      </c>
      <c r="AA293" s="571"/>
      <c r="AB293" s="571"/>
      <c r="AC293" s="571"/>
      <c r="AD293" s="571"/>
      <c r="AE293" s="571"/>
      <c r="AF293" s="571"/>
      <c r="AG293" s="571"/>
      <c r="AH293" s="571"/>
      <c r="AI293" s="571"/>
      <c r="AJ293" s="571"/>
      <c r="AK293" s="571"/>
      <c r="AL293" s="571"/>
      <c r="AM293" s="571"/>
      <c r="AN293" s="571"/>
    </row>
    <row r="294" spans="1:40" s="129" customFormat="1" ht="15.6" hidden="1">
      <c r="A294" s="1"/>
      <c r="B294" s="82"/>
      <c r="C294" s="1"/>
      <c r="D294" s="1"/>
      <c r="E294" s="1"/>
      <c r="F294" s="1"/>
      <c r="G294" s="1" t="s">
        <v>972</v>
      </c>
      <c r="H294" s="3" t="s">
        <v>2994</v>
      </c>
      <c r="I294" s="110" t="s">
        <v>79</v>
      </c>
      <c r="J294" s="392"/>
      <c r="K294" s="87"/>
      <c r="M294" s="396">
        <v>16</v>
      </c>
      <c r="N294" s="396">
        <v>32</v>
      </c>
      <c r="O294" s="396">
        <v>68</v>
      </c>
      <c r="P294" s="396">
        <v>139</v>
      </c>
      <c r="Q294" s="396">
        <v>178</v>
      </c>
      <c r="R294" s="396">
        <v>199</v>
      </c>
      <c r="S294" s="396">
        <v>173</v>
      </c>
      <c r="T294" s="396">
        <v>138</v>
      </c>
      <c r="U294" s="396">
        <v>91</v>
      </c>
      <c r="V294" s="396">
        <v>47</v>
      </c>
      <c r="W294" s="396">
        <v>22</v>
      </c>
      <c r="X294" s="396">
        <v>12</v>
      </c>
      <c r="AA294" s="571"/>
      <c r="AB294" s="571"/>
      <c r="AC294" s="571"/>
      <c r="AD294" s="571"/>
      <c r="AE294" s="571"/>
      <c r="AF294" s="571"/>
      <c r="AG294" s="571"/>
      <c r="AH294" s="571"/>
      <c r="AI294" s="571"/>
      <c r="AJ294" s="571"/>
      <c r="AK294" s="571"/>
      <c r="AL294" s="571"/>
      <c r="AM294" s="571"/>
      <c r="AN294" s="571"/>
    </row>
    <row r="295" spans="1:40" s="129" customFormat="1" ht="15.6" hidden="1">
      <c r="A295" s="1"/>
      <c r="B295" s="82"/>
      <c r="C295" s="1"/>
      <c r="D295" s="1"/>
      <c r="E295" s="1"/>
      <c r="F295" s="1"/>
      <c r="G295" s="1" t="s">
        <v>973</v>
      </c>
      <c r="H295" s="3" t="s">
        <v>2994</v>
      </c>
      <c r="I295" s="110" t="s">
        <v>79</v>
      </c>
      <c r="J295" s="1"/>
      <c r="K295" s="87"/>
      <c r="M295" s="11">
        <v>15</v>
      </c>
      <c r="N295" s="11">
        <v>28</v>
      </c>
      <c r="O295" s="11">
        <v>58</v>
      </c>
      <c r="P295" s="11">
        <v>116</v>
      </c>
      <c r="Q295" s="11">
        <v>151</v>
      </c>
      <c r="R295" s="11">
        <v>169</v>
      </c>
      <c r="S295" s="11">
        <v>149</v>
      </c>
      <c r="T295" s="11">
        <v>116</v>
      </c>
      <c r="U295" s="11">
        <v>77</v>
      </c>
      <c r="V295" s="11">
        <v>40</v>
      </c>
      <c r="W295" s="11">
        <v>20</v>
      </c>
      <c r="X295" s="11">
        <v>11</v>
      </c>
      <c r="AA295" s="571"/>
      <c r="AB295" s="571"/>
      <c r="AC295" s="571"/>
      <c r="AD295" s="571"/>
      <c r="AE295" s="571"/>
      <c r="AF295" s="571"/>
      <c r="AG295" s="571"/>
      <c r="AH295" s="571"/>
      <c r="AI295" s="571"/>
      <c r="AJ295" s="571"/>
      <c r="AK295" s="571"/>
      <c r="AL295" s="571"/>
      <c r="AM295" s="571"/>
      <c r="AN295" s="571"/>
    </row>
    <row r="296" spans="1:40" s="129" customFormat="1" ht="15.6" hidden="1">
      <c r="A296" s="1"/>
      <c r="B296" s="82"/>
      <c r="C296" s="1"/>
      <c r="D296" s="72"/>
      <c r="E296" s="72"/>
      <c r="F296" s="72"/>
      <c r="G296" s="1" t="s">
        <v>974</v>
      </c>
      <c r="H296" s="3" t="s">
        <v>2994</v>
      </c>
      <c r="I296" s="110" t="s">
        <v>79</v>
      </c>
      <c r="J296" s="1"/>
      <c r="K296" s="87"/>
      <c r="M296" s="11">
        <v>13</v>
      </c>
      <c r="N296" s="11">
        <v>25</v>
      </c>
      <c r="O296" s="11">
        <v>50</v>
      </c>
      <c r="P296" s="11">
        <v>101</v>
      </c>
      <c r="Q296" s="11">
        <v>130</v>
      </c>
      <c r="R296" s="11">
        <v>144</v>
      </c>
      <c r="S296" s="11">
        <v>128</v>
      </c>
      <c r="T296" s="11">
        <v>99</v>
      </c>
      <c r="U296" s="11">
        <v>66</v>
      </c>
      <c r="V296" s="11">
        <v>35</v>
      </c>
      <c r="W296" s="11">
        <v>18</v>
      </c>
      <c r="X296" s="11">
        <v>9</v>
      </c>
      <c r="AA296" s="571"/>
      <c r="AB296" s="571"/>
      <c r="AC296" s="571"/>
      <c r="AD296" s="571"/>
      <c r="AE296" s="571"/>
      <c r="AF296" s="571"/>
      <c r="AG296" s="571"/>
      <c r="AH296" s="571"/>
      <c r="AI296" s="571"/>
      <c r="AJ296" s="571"/>
      <c r="AK296" s="571"/>
      <c r="AL296" s="571"/>
      <c r="AM296" s="571"/>
      <c r="AN296" s="571"/>
    </row>
    <row r="297" spans="1:40" s="129" customFormat="1" ht="15.6" hidden="1">
      <c r="A297" s="1"/>
      <c r="B297" s="82"/>
      <c r="C297" s="1"/>
      <c r="D297" s="1"/>
      <c r="E297" s="1"/>
      <c r="F297" s="1"/>
      <c r="G297" s="1" t="s">
        <v>975</v>
      </c>
      <c r="H297" s="3" t="s">
        <v>2994</v>
      </c>
      <c r="I297" s="110" t="s">
        <v>79</v>
      </c>
      <c r="J297" s="1"/>
      <c r="K297" s="87"/>
      <c r="M297" s="395">
        <v>11</v>
      </c>
      <c r="N297" s="395">
        <v>18</v>
      </c>
      <c r="O297" s="395">
        <v>38</v>
      </c>
      <c r="P297" s="395">
        <v>78</v>
      </c>
      <c r="Q297" s="395">
        <v>96</v>
      </c>
      <c r="R297" s="395">
        <v>108</v>
      </c>
      <c r="S297" s="395">
        <v>95</v>
      </c>
      <c r="T297" s="395">
        <v>74</v>
      </c>
      <c r="U297" s="395">
        <v>51</v>
      </c>
      <c r="V297" s="395">
        <v>28</v>
      </c>
      <c r="W297" s="395">
        <v>13</v>
      </c>
      <c r="X297" s="395">
        <v>7</v>
      </c>
      <c r="AA297" s="571"/>
      <c r="AB297" s="571"/>
      <c r="AC297" s="571"/>
      <c r="AD297" s="571"/>
      <c r="AE297" s="571"/>
      <c r="AF297" s="571"/>
      <c r="AG297" s="571"/>
      <c r="AH297" s="571"/>
      <c r="AI297" s="571"/>
      <c r="AJ297" s="571"/>
      <c r="AK297" s="571"/>
      <c r="AL297" s="571"/>
      <c r="AM297" s="571"/>
      <c r="AN297" s="571"/>
    </row>
    <row r="298" spans="1:40" s="129" customFormat="1" ht="15.6" hidden="1">
      <c r="B298" s="82"/>
      <c r="C298" s="1"/>
      <c r="D298" s="1"/>
      <c r="E298" s="1"/>
      <c r="F298" s="1"/>
      <c r="G298" s="1" t="s">
        <v>976</v>
      </c>
      <c r="H298" s="3" t="s">
        <v>2994</v>
      </c>
      <c r="I298" s="110" t="s">
        <v>79</v>
      </c>
      <c r="M298" s="396">
        <v>17</v>
      </c>
      <c r="N298" s="396">
        <v>34</v>
      </c>
      <c r="O298" s="396">
        <v>71</v>
      </c>
      <c r="P298" s="396">
        <v>151</v>
      </c>
      <c r="Q298" s="396">
        <v>185</v>
      </c>
      <c r="R298" s="396">
        <v>209</v>
      </c>
      <c r="S298" s="396">
        <v>187</v>
      </c>
      <c r="T298" s="396">
        <v>144</v>
      </c>
      <c r="U298" s="396">
        <v>93</v>
      </c>
      <c r="V298" s="396">
        <v>50</v>
      </c>
      <c r="W298" s="396">
        <v>22</v>
      </c>
      <c r="X298" s="396">
        <v>12</v>
      </c>
      <c r="AA298" s="571"/>
      <c r="AB298" s="571"/>
      <c r="AC298" s="571"/>
      <c r="AD298" s="571"/>
      <c r="AE298" s="571"/>
      <c r="AF298" s="571"/>
      <c r="AG298" s="571"/>
      <c r="AH298" s="571"/>
      <c r="AI298" s="571"/>
      <c r="AJ298" s="571"/>
      <c r="AK298" s="571"/>
      <c r="AL298" s="571"/>
      <c r="AM298" s="571"/>
      <c r="AN298" s="571"/>
    </row>
    <row r="299" spans="1:40" s="129" customFormat="1" ht="15.6" hidden="1">
      <c r="B299" s="82"/>
      <c r="C299" s="1"/>
      <c r="D299" s="1"/>
      <c r="E299" s="1"/>
      <c r="F299" s="1"/>
      <c r="G299" s="1" t="s">
        <v>977</v>
      </c>
      <c r="H299" s="3" t="s">
        <v>2994</v>
      </c>
      <c r="I299" s="110" t="s">
        <v>79</v>
      </c>
      <c r="M299" s="11">
        <v>15</v>
      </c>
      <c r="N299" s="11">
        <v>29</v>
      </c>
      <c r="O299" s="11">
        <v>61</v>
      </c>
      <c r="P299" s="11">
        <v>131</v>
      </c>
      <c r="Q299" s="11">
        <v>160</v>
      </c>
      <c r="R299" s="11">
        <v>181</v>
      </c>
      <c r="S299" s="11">
        <v>167</v>
      </c>
      <c r="T299" s="11">
        <v>123</v>
      </c>
      <c r="U299" s="11">
        <v>79</v>
      </c>
      <c r="V299" s="11">
        <v>42</v>
      </c>
      <c r="W299" s="11">
        <v>20</v>
      </c>
      <c r="X299" s="11">
        <v>11</v>
      </c>
      <c r="AA299" s="571"/>
      <c r="AB299" s="571"/>
      <c r="AC299" s="571"/>
      <c r="AD299" s="571"/>
      <c r="AE299" s="571"/>
      <c r="AF299" s="571"/>
      <c r="AG299" s="571"/>
      <c r="AH299" s="571"/>
      <c r="AI299" s="571"/>
      <c r="AJ299" s="571"/>
      <c r="AK299" s="571"/>
      <c r="AL299" s="571"/>
      <c r="AM299" s="571"/>
      <c r="AN299" s="571"/>
    </row>
    <row r="300" spans="1:40" s="129" customFormat="1" ht="15.6" hidden="1">
      <c r="B300" s="82"/>
      <c r="C300" s="1"/>
      <c r="D300" s="1"/>
      <c r="E300" s="1"/>
      <c r="F300" s="1"/>
      <c r="G300" s="1" t="s">
        <v>978</v>
      </c>
      <c r="H300" s="3" t="s">
        <v>2994</v>
      </c>
      <c r="I300" s="110" t="s">
        <v>79</v>
      </c>
      <c r="M300" s="11">
        <v>14</v>
      </c>
      <c r="N300" s="11">
        <v>26</v>
      </c>
      <c r="O300" s="11">
        <v>54</v>
      </c>
      <c r="P300" s="11">
        <v>114</v>
      </c>
      <c r="Q300" s="11">
        <v>139</v>
      </c>
      <c r="R300" s="11">
        <v>157</v>
      </c>
      <c r="S300" s="11">
        <v>148</v>
      </c>
      <c r="T300" s="11">
        <v>107</v>
      </c>
      <c r="U300" s="11">
        <v>68</v>
      </c>
      <c r="V300" s="11">
        <v>36</v>
      </c>
      <c r="W300" s="11">
        <v>18</v>
      </c>
      <c r="X300" s="11">
        <v>9</v>
      </c>
      <c r="AA300" s="571"/>
      <c r="AB300" s="571"/>
      <c r="AC300" s="571"/>
      <c r="AD300" s="571"/>
      <c r="AE300" s="571"/>
      <c r="AF300" s="571"/>
      <c r="AG300" s="571"/>
      <c r="AH300" s="571"/>
      <c r="AI300" s="571"/>
      <c r="AJ300" s="571"/>
      <c r="AK300" s="571"/>
      <c r="AL300" s="571"/>
      <c r="AM300" s="571"/>
      <c r="AN300" s="571"/>
    </row>
    <row r="301" spans="1:40" s="129" customFormat="1" ht="15.6" hidden="1">
      <c r="B301" s="82"/>
      <c r="C301" s="1"/>
      <c r="D301" s="1"/>
      <c r="E301" s="1"/>
      <c r="F301" s="1"/>
      <c r="G301" s="1" t="s">
        <v>979</v>
      </c>
      <c r="H301" s="3" t="s">
        <v>2994</v>
      </c>
      <c r="I301" s="110" t="s">
        <v>79</v>
      </c>
      <c r="M301" s="395">
        <v>11</v>
      </c>
      <c r="N301" s="395">
        <v>19</v>
      </c>
      <c r="O301" s="395">
        <v>41</v>
      </c>
      <c r="P301" s="395">
        <v>87</v>
      </c>
      <c r="Q301" s="395">
        <v>104</v>
      </c>
      <c r="R301" s="395">
        <v>116</v>
      </c>
      <c r="S301" s="395">
        <v>112</v>
      </c>
      <c r="T301" s="395">
        <v>81</v>
      </c>
      <c r="U301" s="395">
        <v>52</v>
      </c>
      <c r="V301" s="395">
        <v>29</v>
      </c>
      <c r="W301" s="395">
        <v>13</v>
      </c>
      <c r="X301" s="395">
        <v>7</v>
      </c>
      <c r="AA301" s="571"/>
      <c r="AB301" s="571"/>
      <c r="AC301" s="571"/>
      <c r="AD301" s="571"/>
      <c r="AE301" s="571"/>
      <c r="AF301" s="571"/>
      <c r="AG301" s="571"/>
      <c r="AH301" s="571"/>
      <c r="AI301" s="571"/>
      <c r="AJ301" s="571"/>
      <c r="AK301" s="571"/>
      <c r="AL301" s="571"/>
      <c r="AM301" s="571"/>
      <c r="AN301" s="571"/>
    </row>
    <row r="302" spans="1:40" s="129" customFormat="1" ht="15.6" hidden="1">
      <c r="B302" s="82"/>
      <c r="C302" s="1"/>
      <c r="D302" s="1"/>
      <c r="E302" s="1"/>
      <c r="F302" s="1"/>
      <c r="G302" s="1" t="s">
        <v>133</v>
      </c>
      <c r="H302" s="3" t="s">
        <v>2994</v>
      </c>
      <c r="I302" s="110" t="s">
        <v>79</v>
      </c>
      <c r="M302" s="396">
        <v>16</v>
      </c>
      <c r="N302" s="396">
        <v>29</v>
      </c>
      <c r="O302" s="396">
        <v>56</v>
      </c>
      <c r="P302" s="396">
        <v>128</v>
      </c>
      <c r="Q302" s="396">
        <v>172</v>
      </c>
      <c r="R302" s="396">
        <v>197</v>
      </c>
      <c r="S302" s="396">
        <v>175</v>
      </c>
      <c r="T302" s="396">
        <v>129</v>
      </c>
      <c r="U302" s="396">
        <v>77</v>
      </c>
      <c r="V302" s="396">
        <v>36</v>
      </c>
      <c r="W302" s="396">
        <v>21</v>
      </c>
      <c r="X302" s="396">
        <v>11</v>
      </c>
      <c r="AA302" s="571"/>
      <c r="AB302" s="571"/>
      <c r="AC302" s="571"/>
      <c r="AD302" s="571"/>
      <c r="AE302" s="571"/>
      <c r="AF302" s="571"/>
      <c r="AG302" s="571"/>
      <c r="AH302" s="571"/>
      <c r="AI302" s="571"/>
      <c r="AJ302" s="571"/>
      <c r="AK302" s="571"/>
      <c r="AL302" s="571"/>
      <c r="AM302" s="571"/>
      <c r="AN302" s="571"/>
    </row>
    <row r="303" spans="1:40" s="129" customFormat="1" ht="15.6" hidden="1">
      <c r="B303" s="82"/>
      <c r="C303" s="1"/>
      <c r="D303" s="1"/>
      <c r="E303" s="1"/>
      <c r="F303" s="1"/>
      <c r="G303" s="1" t="s">
        <v>134</v>
      </c>
      <c r="H303" s="3" t="s">
        <v>2994</v>
      </c>
      <c r="I303" s="110" t="s">
        <v>79</v>
      </c>
      <c r="M303" s="11">
        <v>15</v>
      </c>
      <c r="N303" s="11">
        <v>26</v>
      </c>
      <c r="O303" s="11">
        <v>43</v>
      </c>
      <c r="P303" s="11">
        <v>90</v>
      </c>
      <c r="Q303" s="11">
        <v>136</v>
      </c>
      <c r="R303" s="11">
        <v>161</v>
      </c>
      <c r="S303" s="11">
        <v>145</v>
      </c>
      <c r="T303" s="11">
        <v>95</v>
      </c>
      <c r="U303" s="11">
        <v>56</v>
      </c>
      <c r="V303" s="11">
        <v>33</v>
      </c>
      <c r="W303" s="11">
        <v>19</v>
      </c>
      <c r="X303" s="11">
        <v>10</v>
      </c>
      <c r="AA303" s="571"/>
      <c r="AB303" s="571"/>
      <c r="AC303" s="571"/>
      <c r="AD303" s="571"/>
      <c r="AE303" s="571"/>
      <c r="AF303" s="571"/>
      <c r="AG303" s="571"/>
      <c r="AH303" s="571"/>
      <c r="AI303" s="571"/>
      <c r="AJ303" s="571"/>
      <c r="AK303" s="571"/>
      <c r="AL303" s="571"/>
      <c r="AM303" s="571"/>
      <c r="AN303" s="571"/>
    </row>
    <row r="304" spans="1:40" s="129" customFormat="1" ht="15.6" hidden="1">
      <c r="B304" s="82"/>
      <c r="C304" s="1"/>
      <c r="D304" s="1"/>
      <c r="E304" s="1"/>
      <c r="F304" s="1"/>
      <c r="G304" s="1" t="s">
        <v>135</v>
      </c>
      <c r="H304" s="3" t="s">
        <v>2994</v>
      </c>
      <c r="I304" s="110" t="s">
        <v>79</v>
      </c>
      <c r="M304" s="11">
        <v>13</v>
      </c>
      <c r="N304" s="11">
        <v>24</v>
      </c>
      <c r="O304" s="11">
        <v>39</v>
      </c>
      <c r="P304" s="11">
        <v>71</v>
      </c>
      <c r="Q304" s="11">
        <v>101</v>
      </c>
      <c r="R304" s="11">
        <v>119</v>
      </c>
      <c r="S304" s="11">
        <v>113</v>
      </c>
      <c r="T304" s="11">
        <v>72</v>
      </c>
      <c r="U304" s="11">
        <v>50</v>
      </c>
      <c r="V304" s="11">
        <v>30</v>
      </c>
      <c r="W304" s="11">
        <v>17</v>
      </c>
      <c r="X304" s="11">
        <v>9</v>
      </c>
      <c r="AA304" s="571"/>
      <c r="AB304" s="571"/>
      <c r="AC304" s="571"/>
      <c r="AD304" s="571"/>
      <c r="AE304" s="571"/>
      <c r="AF304" s="571"/>
      <c r="AG304" s="571"/>
      <c r="AH304" s="571"/>
      <c r="AI304" s="571"/>
      <c r="AJ304" s="571"/>
      <c r="AK304" s="571"/>
      <c r="AL304" s="571"/>
      <c r="AM304" s="571"/>
      <c r="AN304" s="571"/>
    </row>
    <row r="305" spans="2:40" s="129" customFormat="1" ht="15.6" hidden="1">
      <c r="B305" s="82"/>
      <c r="C305" s="1"/>
      <c r="D305" s="1"/>
      <c r="E305" s="1"/>
      <c r="F305" s="1"/>
      <c r="G305" s="1" t="s">
        <v>136</v>
      </c>
      <c r="H305" s="3" t="s">
        <v>2994</v>
      </c>
      <c r="I305" s="110" t="s">
        <v>79</v>
      </c>
      <c r="M305" s="395">
        <v>10</v>
      </c>
      <c r="N305" s="395">
        <v>18</v>
      </c>
      <c r="O305" s="395">
        <v>31</v>
      </c>
      <c r="P305" s="395">
        <v>58</v>
      </c>
      <c r="Q305" s="395">
        <v>75</v>
      </c>
      <c r="R305" s="395">
        <v>83</v>
      </c>
      <c r="S305" s="395">
        <v>81</v>
      </c>
      <c r="T305" s="395">
        <v>57</v>
      </c>
      <c r="U305" s="395">
        <v>41</v>
      </c>
      <c r="V305" s="395">
        <v>25</v>
      </c>
      <c r="W305" s="395">
        <v>13</v>
      </c>
      <c r="X305" s="395">
        <v>7</v>
      </c>
      <c r="AA305" s="571"/>
      <c r="AB305" s="571"/>
      <c r="AC305" s="571"/>
      <c r="AD305" s="571"/>
      <c r="AE305" s="571"/>
      <c r="AF305" s="571"/>
      <c r="AG305" s="571"/>
      <c r="AH305" s="571"/>
      <c r="AI305" s="571"/>
      <c r="AJ305" s="571"/>
      <c r="AK305" s="571"/>
      <c r="AL305" s="571"/>
      <c r="AM305" s="571"/>
      <c r="AN305" s="571"/>
    </row>
    <row r="306" spans="2:40" s="129" customFormat="1" ht="15.6" hidden="1">
      <c r="B306" s="82"/>
      <c r="C306" s="72" t="s">
        <v>1894</v>
      </c>
      <c r="D306" s="1"/>
      <c r="E306" s="1"/>
      <c r="F306" s="1"/>
      <c r="G306" s="1"/>
      <c r="H306" s="3" t="s">
        <v>2995</v>
      </c>
      <c r="I306" s="110" t="s">
        <v>79</v>
      </c>
      <c r="M306" s="11">
        <v>1</v>
      </c>
      <c r="N306" s="11">
        <v>1.9</v>
      </c>
      <c r="O306" s="11">
        <v>4.7</v>
      </c>
      <c r="P306" s="11">
        <v>9.1999999999999993</v>
      </c>
      <c r="Q306" s="11">
        <v>14.1</v>
      </c>
      <c r="R306" s="11">
        <v>16.7</v>
      </c>
      <c r="S306" s="11">
        <v>19</v>
      </c>
      <c r="T306" s="11">
        <v>18.600000000000001</v>
      </c>
      <c r="U306" s="11">
        <v>14.3</v>
      </c>
      <c r="V306" s="11">
        <v>9.5</v>
      </c>
      <c r="W306" s="11">
        <v>4.0999999999999996</v>
      </c>
      <c r="X306" s="11">
        <v>0.9</v>
      </c>
      <c r="AA306" s="571"/>
      <c r="AB306" s="571"/>
      <c r="AC306" s="571"/>
      <c r="AD306" s="571"/>
      <c r="AE306" s="571"/>
      <c r="AF306" s="571"/>
      <c r="AG306" s="571"/>
      <c r="AH306" s="571"/>
      <c r="AI306" s="571"/>
      <c r="AJ306" s="571"/>
      <c r="AK306" s="571"/>
      <c r="AL306" s="571"/>
      <c r="AM306" s="571"/>
      <c r="AN306" s="571"/>
    </row>
    <row r="307" spans="2:40" s="129" customFormat="1" ht="15.6" hidden="1">
      <c r="B307" s="117"/>
      <c r="C307" s="411" t="s">
        <v>1896</v>
      </c>
      <c r="D307" s="86"/>
      <c r="E307" s="86"/>
      <c r="F307" s="86"/>
      <c r="G307" s="86"/>
      <c r="H307" s="108" t="s">
        <v>2996</v>
      </c>
      <c r="I307" s="410" t="s">
        <v>79</v>
      </c>
      <c r="M307" s="11">
        <v>31</v>
      </c>
      <c r="N307" s="11">
        <v>28</v>
      </c>
      <c r="O307" s="11">
        <v>31</v>
      </c>
      <c r="P307" s="11">
        <v>30</v>
      </c>
      <c r="Q307" s="11">
        <v>31</v>
      </c>
      <c r="R307" s="11">
        <v>30</v>
      </c>
      <c r="S307" s="11">
        <v>31</v>
      </c>
      <c r="T307" s="11">
        <v>31</v>
      </c>
      <c r="U307" s="11">
        <v>30</v>
      </c>
      <c r="V307" s="11">
        <v>31</v>
      </c>
      <c r="W307" s="11">
        <v>30</v>
      </c>
      <c r="X307" s="11">
        <v>31</v>
      </c>
      <c r="AA307" s="571"/>
      <c r="AB307" s="571"/>
      <c r="AC307" s="571"/>
      <c r="AD307" s="571"/>
      <c r="AE307" s="571"/>
      <c r="AF307" s="571"/>
      <c r="AG307" s="571"/>
      <c r="AH307" s="571"/>
      <c r="AI307" s="571"/>
      <c r="AJ307" s="571"/>
      <c r="AK307" s="571"/>
      <c r="AL307" s="571"/>
      <c r="AM307" s="571"/>
      <c r="AN307" s="571"/>
    </row>
    <row r="308" spans="2:40" s="129" customFormat="1">
      <c r="H308" s="129" t="s">
        <v>955</v>
      </c>
      <c r="AA308" s="571"/>
      <c r="AB308" s="571"/>
      <c r="AC308" s="571"/>
      <c r="AD308" s="571"/>
      <c r="AE308" s="571"/>
      <c r="AF308" s="571"/>
      <c r="AG308" s="571"/>
      <c r="AH308" s="571"/>
      <c r="AI308" s="571"/>
      <c r="AJ308" s="571"/>
      <c r="AK308" s="571"/>
      <c r="AL308" s="571"/>
      <c r="AM308" s="571"/>
      <c r="AN308" s="571"/>
    </row>
    <row r="309" spans="2:40" s="129" customFormat="1">
      <c r="H309" s="129" t="s">
        <v>955</v>
      </c>
      <c r="AA309" s="571"/>
      <c r="AB309" s="571"/>
      <c r="AC309" s="571"/>
      <c r="AD309" s="571"/>
      <c r="AE309" s="571"/>
      <c r="AF309" s="571"/>
      <c r="AG309" s="571"/>
      <c r="AH309" s="571"/>
      <c r="AI309" s="571"/>
      <c r="AJ309" s="571"/>
      <c r="AK309" s="571"/>
      <c r="AL309" s="571"/>
      <c r="AM309" s="571"/>
      <c r="AN309" s="571"/>
    </row>
    <row r="310" spans="2:40" s="129" customFormat="1">
      <c r="H310" s="129" t="s">
        <v>955</v>
      </c>
      <c r="AA310" s="571"/>
      <c r="AB310" s="571"/>
      <c r="AC310" s="571"/>
      <c r="AD310" s="571"/>
      <c r="AE310" s="571"/>
      <c r="AF310" s="571"/>
      <c r="AG310" s="571"/>
      <c r="AH310" s="571"/>
      <c r="AI310" s="571"/>
      <c r="AJ310" s="571"/>
      <c r="AK310" s="571"/>
      <c r="AL310" s="571"/>
      <c r="AM310" s="571"/>
      <c r="AN310" s="571"/>
    </row>
    <row r="311" spans="2:40" s="129" customFormat="1">
      <c r="AA311" s="571"/>
      <c r="AB311" s="571"/>
      <c r="AC311" s="571"/>
      <c r="AD311" s="571"/>
      <c r="AE311" s="571"/>
      <c r="AF311" s="571"/>
      <c r="AG311" s="571"/>
      <c r="AH311" s="571"/>
      <c r="AI311" s="571"/>
      <c r="AJ311" s="571"/>
      <c r="AK311" s="571"/>
      <c r="AL311" s="571"/>
      <c r="AM311" s="571"/>
      <c r="AN311" s="571"/>
    </row>
    <row r="312" spans="2:40" s="129" customFormat="1">
      <c r="AA312" s="571"/>
      <c r="AB312" s="571"/>
      <c r="AC312" s="571"/>
      <c r="AD312" s="571"/>
      <c r="AE312" s="571"/>
      <c r="AF312" s="571"/>
      <c r="AG312" s="571"/>
      <c r="AH312" s="571"/>
      <c r="AI312" s="571"/>
      <c r="AJ312" s="571"/>
      <c r="AK312" s="571"/>
      <c r="AL312" s="571"/>
      <c r="AM312" s="571"/>
      <c r="AN312" s="571"/>
    </row>
    <row r="313" spans="2:40" s="129" customFormat="1">
      <c r="AA313" s="571"/>
      <c r="AB313" s="571"/>
      <c r="AC313" s="571"/>
      <c r="AD313" s="571"/>
      <c r="AE313" s="571"/>
      <c r="AF313" s="571"/>
      <c r="AG313" s="571"/>
      <c r="AH313" s="571"/>
      <c r="AI313" s="571"/>
      <c r="AJ313" s="571"/>
      <c r="AK313" s="571"/>
      <c r="AL313" s="571"/>
      <c r="AM313" s="571"/>
      <c r="AN313" s="571"/>
    </row>
    <row r="314" spans="2:40" s="129" customFormat="1">
      <c r="AA314" s="571"/>
      <c r="AB314" s="571"/>
      <c r="AC314" s="571"/>
      <c r="AD314" s="571"/>
      <c r="AE314" s="571"/>
      <c r="AF314" s="571"/>
      <c r="AG314" s="571"/>
      <c r="AH314" s="571"/>
      <c r="AI314" s="571"/>
      <c r="AJ314" s="571"/>
      <c r="AK314" s="571"/>
      <c r="AL314" s="571"/>
      <c r="AM314" s="571"/>
      <c r="AN314" s="571"/>
    </row>
    <row r="315" spans="2:40" s="129" customFormat="1">
      <c r="AA315" s="571"/>
      <c r="AB315" s="571"/>
      <c r="AC315" s="571"/>
      <c r="AD315" s="571"/>
      <c r="AE315" s="571"/>
      <c r="AF315" s="571"/>
      <c r="AG315" s="571"/>
      <c r="AH315" s="571"/>
      <c r="AI315" s="571"/>
      <c r="AJ315" s="571"/>
      <c r="AK315" s="571"/>
      <c r="AL315" s="571"/>
      <c r="AM315" s="571"/>
      <c r="AN315" s="571"/>
    </row>
    <row r="316" spans="2:40">
      <c r="K316" s="129"/>
    </row>
    <row r="317" spans="2:40">
      <c r="K317" s="129"/>
    </row>
    <row r="318" spans="2:40">
      <c r="K318" s="129"/>
    </row>
    <row r="319" spans="2:40">
      <c r="K319" s="129"/>
    </row>
    <row r="320" spans="2:40">
      <c r="K320" s="129"/>
    </row>
    <row r="321" spans="11:11">
      <c r="K321" s="129"/>
    </row>
    <row r="322" spans="11:11">
      <c r="K322" s="129"/>
    </row>
    <row r="323" spans="11:11">
      <c r="K323" s="129"/>
    </row>
  </sheetData>
  <sheetProtection algorithmName="SHA-512" hashValue="Sn1TmUpNzozsLBRiuXdTLdJ0X42xaQRhmYv3o/vO0dVHWYimxoeW3+pNut46IEiEvTl4dAfw7eyRhnhn4K0kdw==" saltValue="mF87CYIXuQK6WAmLOeo9jA==" spinCount="100000" sheet="1" objects="1" scenarios="1"/>
  <dataConsolidate/>
  <mergeCells count="12">
    <mergeCell ref="D208:I208"/>
    <mergeCell ref="G100:I100"/>
    <mergeCell ref="G113:I113"/>
    <mergeCell ref="G116:I116"/>
    <mergeCell ref="G179:I179"/>
    <mergeCell ref="G206:I206"/>
    <mergeCell ref="C87:E87"/>
    <mergeCell ref="E4:I4"/>
    <mergeCell ref="C83:E83"/>
    <mergeCell ref="C84:E84"/>
    <mergeCell ref="C85:E85"/>
    <mergeCell ref="C86:E86"/>
  </mergeCells>
  <conditionalFormatting sqref="C18 F131:H142">
    <cfRule type="expression" dxfId="462" priority="32">
      <formula>HatFormel=TRUE</formula>
    </cfRule>
  </conditionalFormatting>
  <conditionalFormatting sqref="F18:G30">
    <cfRule type="expression" dxfId="461" priority="31">
      <formula>HatFormel=TRUE</formula>
    </cfRule>
  </conditionalFormatting>
  <conditionalFormatting sqref="C19:C30">
    <cfRule type="expression" dxfId="460" priority="30">
      <formula>HatFormel=TRUE</formula>
    </cfRule>
  </conditionalFormatting>
  <conditionalFormatting sqref="F38:G38 F32:F37">
    <cfRule type="expression" dxfId="459" priority="29">
      <formula>HatFormel=TRUE</formula>
    </cfRule>
  </conditionalFormatting>
  <conditionalFormatting sqref="F40:G41">
    <cfRule type="expression" dxfId="458" priority="28">
      <formula>HatFormel=TRUE</formula>
    </cfRule>
  </conditionalFormatting>
  <conditionalFormatting sqref="D32">
    <cfRule type="expression" dxfId="457" priority="27">
      <formula>HatFormel=TRUE</formula>
    </cfRule>
  </conditionalFormatting>
  <conditionalFormatting sqref="D33:D38">
    <cfRule type="expression" dxfId="456" priority="26">
      <formula>HatFormel=TRUE</formula>
    </cfRule>
  </conditionalFormatting>
  <conditionalFormatting sqref="D40:D41">
    <cfRule type="expression" dxfId="455" priority="25">
      <formula>HatFormel=TRUE</formula>
    </cfRule>
  </conditionalFormatting>
  <conditionalFormatting sqref="E45:E48">
    <cfRule type="expression" dxfId="454" priority="24">
      <formula>HatFormel=TRUE</formula>
    </cfRule>
  </conditionalFormatting>
  <conditionalFormatting sqref="F45:G45">
    <cfRule type="expression" dxfId="453" priority="23">
      <formula>HatFormel=TRUE</formula>
    </cfRule>
  </conditionalFormatting>
  <conditionalFormatting sqref="E49:E53">
    <cfRule type="expression" dxfId="452" priority="22">
      <formula>HatFormel=TRUE</formula>
    </cfRule>
  </conditionalFormatting>
  <conditionalFormatting sqref="F46:G53">
    <cfRule type="expression" dxfId="451" priority="21">
      <formula>HatFormel=TRUE</formula>
    </cfRule>
  </conditionalFormatting>
  <conditionalFormatting sqref="F59:G59 F55:F58">
    <cfRule type="expression" dxfId="450" priority="20">
      <formula>HatFormel=TRUE</formula>
    </cfRule>
  </conditionalFormatting>
  <conditionalFormatting sqref="D55:D59">
    <cfRule type="expression" dxfId="449" priority="19">
      <formula>HatFormel=TRUE</formula>
    </cfRule>
  </conditionalFormatting>
  <conditionalFormatting sqref="F61:G64">
    <cfRule type="expression" dxfId="448" priority="18">
      <formula>HatFormel=TRUE</formula>
    </cfRule>
  </conditionalFormatting>
  <conditionalFormatting sqref="F66:G69">
    <cfRule type="expression" dxfId="447" priority="17">
      <formula>HatFormel=TRUE</formula>
    </cfRule>
  </conditionalFormatting>
  <conditionalFormatting sqref="F71:G75">
    <cfRule type="expression" dxfId="446" priority="16">
      <formula>HatFormel=TRUE</formula>
    </cfRule>
  </conditionalFormatting>
  <conditionalFormatting sqref="F83:G88">
    <cfRule type="expression" dxfId="445" priority="15">
      <formula>HatFormel=TRUE</formula>
    </cfRule>
  </conditionalFormatting>
  <conditionalFormatting sqref="F90:G92">
    <cfRule type="expression" dxfId="444" priority="14">
      <formula>HatFormel=TRUE</formula>
    </cfRule>
  </conditionalFormatting>
  <conditionalFormatting sqref="D90:D92">
    <cfRule type="expression" dxfId="443" priority="13">
      <formula>HatFormel=TRUE</formula>
    </cfRule>
  </conditionalFormatting>
  <conditionalFormatting sqref="E80:E82 C83:E88 F94:G96">
    <cfRule type="expression" dxfId="442" priority="12">
      <formula>HatFormel=TRUE</formula>
    </cfRule>
  </conditionalFormatting>
  <conditionalFormatting sqref="F149:F170">
    <cfRule type="expression" dxfId="441" priority="11">
      <formula>HatFormel=TRUE</formula>
    </cfRule>
  </conditionalFormatting>
  <conditionalFormatting sqref="C45:C53">
    <cfRule type="expression" dxfId="440" priority="10">
      <formula>HatFormel=TRUE</formula>
    </cfRule>
  </conditionalFormatting>
  <conditionalFormatting sqref="F7">
    <cfRule type="expression" dxfId="439" priority="9">
      <formula>HatFormel=TRUE</formula>
    </cfRule>
  </conditionalFormatting>
  <conditionalFormatting sqref="I104">
    <cfRule type="expression" dxfId="438" priority="8">
      <formula>$G$100&lt;&gt;$B$104</formula>
    </cfRule>
  </conditionalFormatting>
  <conditionalFormatting sqref="I182">
    <cfRule type="expression" dxfId="437" priority="7">
      <formula>$G$179&lt;&gt;$D$182</formula>
    </cfRule>
  </conditionalFormatting>
  <conditionalFormatting sqref="I186">
    <cfRule type="expression" dxfId="436" priority="6">
      <formula>$G$179&lt;&gt;$D$186</formula>
    </cfRule>
  </conditionalFormatting>
  <conditionalFormatting sqref="I213:I215">
    <cfRule type="expression" dxfId="435" priority="5">
      <formula>$G$206&lt;&gt;$C$212</formula>
    </cfRule>
  </conditionalFormatting>
  <conditionalFormatting sqref="D208:I208">
    <cfRule type="expression" dxfId="434" priority="4">
      <formula>$G$206&lt;&gt;$C$207</formula>
    </cfRule>
  </conditionalFormatting>
  <conditionalFormatting sqref="G55:G58">
    <cfRule type="expression" dxfId="433" priority="3">
      <formula>HatFormel=TRUE</formula>
    </cfRule>
  </conditionalFormatting>
  <conditionalFormatting sqref="G32:G37">
    <cfRule type="expression" dxfId="432" priority="2">
      <formula>HatFormel=TRUE</formula>
    </cfRule>
  </conditionalFormatting>
  <conditionalFormatting sqref="G18:G95">
    <cfRule type="cellIs" dxfId="431" priority="1" operator="greaterThanOrEqual">
      <formula>1</formula>
    </cfRule>
  </conditionalFormatting>
  <dataValidations count="14">
    <dataValidation type="list" allowBlank="1" showInputMessage="1" showErrorMessage="1" sqref="E66 E61" xr:uid="{00000000-0002-0000-0200-000000000000}">
      <formula1>$AA$32:$AA$39</formula1>
    </dataValidation>
    <dataValidation type="list" allowBlank="1" showInputMessage="1" showErrorMessage="1" sqref="H206:I206" xr:uid="{00000000-0002-0000-0200-000001000000}">
      <formula1>$AA$211:$AA$213</formula1>
    </dataValidation>
    <dataValidation type="list" allowBlank="1" showInputMessage="1" showErrorMessage="1" sqref="C53" xr:uid="{00000000-0002-0000-0200-000002000000}">
      <formula1>listOri</formula1>
    </dataValidation>
    <dataValidation type="list" allowBlank="1" showInputMessage="1" showErrorMessage="1" sqref="C30" xr:uid="{00000000-0002-0000-0200-000003000000}">
      <formula1>listOriOhneHor</formula1>
    </dataValidation>
    <dataValidation type="list" allowBlank="1" showInputMessage="1" showErrorMessage="1" sqref="H179:I179" xr:uid="{00000000-0002-0000-0200-000004000000}">
      <formula1>$D$180:$D$182</formula1>
    </dataValidation>
    <dataValidation type="list" allowBlank="1" showInputMessage="1" showErrorMessage="1" sqref="D83:E88 C88" xr:uid="{00000000-0002-0000-0200-000005000000}">
      <formula1>listUntererAbschluss</formula1>
    </dataValidation>
    <dataValidation type="list" allowBlank="1" showInputMessage="1" showErrorMessage="1" sqref="D92" xr:uid="{00000000-0002-0000-0200-000006000000}">
      <formula1>$B$83:$B$87</formula1>
    </dataValidation>
    <dataValidation type="list" allowBlank="1" showInputMessage="1" showErrorMessage="1" sqref="E53" xr:uid="{00000000-0002-0000-0200-000007000000}">
      <formula1>listNeiOhne90</formula1>
    </dataValidation>
    <dataValidation type="list" allowBlank="1" showInputMessage="1" showErrorMessage="1" sqref="H116:I116" xr:uid="{00000000-0002-0000-0200-000008000000}">
      <formula1>$C$117:$C$121</formula1>
    </dataValidation>
    <dataValidation type="list" allowBlank="1" showInputMessage="1" showErrorMessage="1" sqref="H113:I113" xr:uid="{00000000-0002-0000-0200-000009000000}">
      <formula1>$C$114:$C$115</formula1>
    </dataValidation>
    <dataValidation type="list" allowBlank="1" showInputMessage="1" showErrorMessage="1" sqref="E208:I208" xr:uid="{00000000-0002-0000-0200-00000A000000}">
      <formula1>listTechnikMusteranlageLang</formula1>
    </dataValidation>
    <dataValidation type="list" allowBlank="1" showInputMessage="1" showErrorMessage="1" sqref="D59" xr:uid="{00000000-0002-0000-0200-00000B000000}">
      <formula1>$B$45:$B$52</formula1>
    </dataValidation>
    <dataValidation type="list" allowBlank="1" showInputMessage="1" showErrorMessage="1" sqref="D38" xr:uid="{00000000-0002-0000-0200-00000C000000}">
      <formula1>$B$18:$B$29</formula1>
    </dataValidation>
    <dataValidation type="list" allowBlank="1" showInputMessage="1" showErrorMessage="1" sqref="H100:I100" xr:uid="{00000000-0002-0000-0200-00000D000000}">
      <formula1>$B$101:$B$104</formula1>
    </dataValidation>
  </dataValidations>
  <pageMargins left="0.70866141732283472" right="0.70866141732283472" top="0.78740157480314965" bottom="0.78740157480314965" header="0.31496062992125984" footer="0.31496062992125984"/>
  <pageSetup paperSize="9" scale="93" fitToHeight="0" orientation="portrait" r:id="rId1"/>
  <headerFooter>
    <oddFooter>&amp;L&amp;G&amp;C&amp;"Arial,Standard"&amp;9A. Maas und K. Höttges
V4.0, April 2023&amp;R&amp;"Arial,Standard"&amp;9Berechnungsblatt GEG 2023, Blatt '&amp;A'
Seite &amp;P von &amp;N</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76129" r:id="rId5" name="Button 8">
              <controlPr defaultSize="0" print="0" autoFill="0" autoPict="0" macro="[0]!ZeilenEinAusBlendenAlle">
                <anchor moveWithCells="1">
                  <from>
                    <xdr:col>9</xdr:col>
                    <xdr:colOff>7620</xdr:colOff>
                    <xdr:row>0</xdr:row>
                    <xdr:rowOff>0</xdr:rowOff>
                  </from>
                  <to>
                    <xdr:col>9</xdr:col>
                    <xdr:colOff>251460</xdr:colOff>
                    <xdr:row>0</xdr:row>
                    <xdr:rowOff>236220</xdr:rowOff>
                  </to>
                </anchor>
              </controlPr>
            </control>
          </mc:Choice>
        </mc:AlternateContent>
        <mc:AlternateContent xmlns:mc="http://schemas.openxmlformats.org/markup-compatibility/2006">
          <mc:Choice Requires="x14">
            <control shapeId="176130" r:id="rId6" name="Button 33">
              <controlPr defaultSize="0" print="0" autoFill="0" autoPict="0" macro="[0]!ZeilenEinAusBlendenEinzeln">
                <anchor moveWithCells="1">
                  <from>
                    <xdr:col>9</xdr:col>
                    <xdr:colOff>7620</xdr:colOff>
                    <xdr:row>5</xdr:row>
                    <xdr:rowOff>7620</xdr:rowOff>
                  </from>
                  <to>
                    <xdr:col>9</xdr:col>
                    <xdr:colOff>251460</xdr:colOff>
                    <xdr:row>5</xdr:row>
                    <xdr:rowOff>251460</xdr:rowOff>
                  </to>
                </anchor>
              </controlPr>
            </control>
          </mc:Choice>
        </mc:AlternateContent>
        <mc:AlternateContent xmlns:mc="http://schemas.openxmlformats.org/markup-compatibility/2006">
          <mc:Choice Requires="x14">
            <control shapeId="176131" r:id="rId7" name="Button 35">
              <controlPr defaultSize="0" print="0" autoFill="0" autoPict="0" macro="[0]!ZeilenEinAusBlendenEinzeln">
                <anchor moveWithCells="1">
                  <from>
                    <xdr:col>9</xdr:col>
                    <xdr:colOff>7620</xdr:colOff>
                    <xdr:row>13</xdr:row>
                    <xdr:rowOff>7620</xdr:rowOff>
                  </from>
                  <to>
                    <xdr:col>9</xdr:col>
                    <xdr:colOff>251460</xdr:colOff>
                    <xdr:row>14</xdr:row>
                    <xdr:rowOff>0</xdr:rowOff>
                  </to>
                </anchor>
              </controlPr>
            </control>
          </mc:Choice>
        </mc:AlternateContent>
        <mc:AlternateContent xmlns:mc="http://schemas.openxmlformats.org/markup-compatibility/2006">
          <mc:Choice Requires="x14">
            <control shapeId="176132" r:id="rId8" name="Button 38">
              <controlPr defaultSize="0" print="0" autoFill="0" autoPict="0" macro="[0]!ZeilenEinAusBlendenEinzeln">
                <anchor moveWithCells="1">
                  <from>
                    <xdr:col>9</xdr:col>
                    <xdr:colOff>7620</xdr:colOff>
                    <xdr:row>127</xdr:row>
                    <xdr:rowOff>7620</xdr:rowOff>
                  </from>
                  <to>
                    <xdr:col>9</xdr:col>
                    <xdr:colOff>251460</xdr:colOff>
                    <xdr:row>128</xdr:row>
                    <xdr:rowOff>0</xdr:rowOff>
                  </to>
                </anchor>
              </controlPr>
            </control>
          </mc:Choice>
        </mc:AlternateContent>
        <mc:AlternateContent xmlns:mc="http://schemas.openxmlformats.org/markup-compatibility/2006">
          <mc:Choice Requires="x14">
            <control shapeId="176133" r:id="rId9" name="Button 5">
              <controlPr defaultSize="0" print="0" autoFill="0" autoPict="0" macro="[0]!ZeilenEinAusBlendenEinzeln">
                <anchor moveWithCells="1">
                  <from>
                    <xdr:col>9</xdr:col>
                    <xdr:colOff>7620</xdr:colOff>
                    <xdr:row>145</xdr:row>
                    <xdr:rowOff>7620</xdr:rowOff>
                  </from>
                  <to>
                    <xdr:col>9</xdr:col>
                    <xdr:colOff>251460</xdr:colOff>
                    <xdr:row>146</xdr:row>
                    <xdr:rowOff>0</xdr:rowOff>
                  </to>
                </anchor>
              </controlPr>
            </control>
          </mc:Choice>
        </mc:AlternateContent>
        <mc:AlternateContent xmlns:mc="http://schemas.openxmlformats.org/markup-compatibility/2006">
          <mc:Choice Requires="x14">
            <control shapeId="176134" r:id="rId10" name="Button 40">
              <controlPr defaultSize="0" print="0" autoFill="0" autoPict="0" macro="[0]!ZeilenEinAusBlendenEinzeln">
                <anchor moveWithCells="1">
                  <from>
                    <xdr:col>9</xdr:col>
                    <xdr:colOff>7620</xdr:colOff>
                    <xdr:row>173</xdr:row>
                    <xdr:rowOff>7620</xdr:rowOff>
                  </from>
                  <to>
                    <xdr:col>9</xdr:col>
                    <xdr:colOff>251460</xdr:colOff>
                    <xdr:row>174</xdr:row>
                    <xdr:rowOff>0</xdr:rowOff>
                  </to>
                </anchor>
              </controlPr>
            </control>
          </mc:Choice>
        </mc:AlternateContent>
        <mc:AlternateContent xmlns:mc="http://schemas.openxmlformats.org/markup-compatibility/2006">
          <mc:Choice Requires="x14">
            <control shapeId="176135" r:id="rId11" name="Button 41">
              <controlPr defaultSize="0" print="0" autoFill="0" autoPict="0" macro="[0]!ZeilenEinAusBlendenEinzeln">
                <anchor moveWithCells="1">
                  <from>
                    <xdr:col>9</xdr:col>
                    <xdr:colOff>7620</xdr:colOff>
                    <xdr:row>177</xdr:row>
                    <xdr:rowOff>7620</xdr:rowOff>
                  </from>
                  <to>
                    <xdr:col>9</xdr:col>
                    <xdr:colOff>251460</xdr:colOff>
                    <xdr:row>178</xdr:row>
                    <xdr:rowOff>0</xdr:rowOff>
                  </to>
                </anchor>
              </controlPr>
            </control>
          </mc:Choice>
        </mc:AlternateContent>
        <mc:AlternateContent xmlns:mc="http://schemas.openxmlformats.org/markup-compatibility/2006">
          <mc:Choice Requires="x14">
            <control shapeId="176136" r:id="rId12" name="Button 8">
              <controlPr defaultSize="0" print="0" autoFill="0" autoPict="0" macro="[0]!ZeilenEinAusBlendenEinzeln">
                <anchor moveWithCells="1">
                  <from>
                    <xdr:col>9</xdr:col>
                    <xdr:colOff>7620</xdr:colOff>
                    <xdr:row>188</xdr:row>
                    <xdr:rowOff>7620</xdr:rowOff>
                  </from>
                  <to>
                    <xdr:col>9</xdr:col>
                    <xdr:colOff>251460</xdr:colOff>
                    <xdr:row>189</xdr:row>
                    <xdr:rowOff>0</xdr:rowOff>
                  </to>
                </anchor>
              </controlPr>
            </control>
          </mc:Choice>
        </mc:AlternateContent>
        <mc:AlternateContent xmlns:mc="http://schemas.openxmlformats.org/markup-compatibility/2006">
          <mc:Choice Requires="x14">
            <control shapeId="176137" r:id="rId13" name="Button 9">
              <controlPr defaultSize="0" print="0" autoFill="0" autoPict="0" macro="[0]!ZeilenEinAusBlendenEinzeln">
                <anchor moveWithCells="1">
                  <from>
                    <xdr:col>9</xdr:col>
                    <xdr:colOff>7620</xdr:colOff>
                    <xdr:row>200</xdr:row>
                    <xdr:rowOff>7620</xdr:rowOff>
                  </from>
                  <to>
                    <xdr:col>9</xdr:col>
                    <xdr:colOff>251460</xdr:colOff>
                    <xdr:row>201</xdr:row>
                    <xdr:rowOff>0</xdr:rowOff>
                  </to>
                </anchor>
              </controlPr>
            </control>
          </mc:Choice>
        </mc:AlternateContent>
        <mc:AlternateContent xmlns:mc="http://schemas.openxmlformats.org/markup-compatibility/2006">
          <mc:Choice Requires="x14">
            <control shapeId="176138" r:id="rId14" name="Button 10">
              <controlPr defaultSize="0" print="0" autoFill="0" autoPict="0" macro="[0]!ZeilenEinAusBlendenEinzeln">
                <anchor moveWithCells="1">
                  <from>
                    <xdr:col>9</xdr:col>
                    <xdr:colOff>7620</xdr:colOff>
                    <xdr:row>204</xdr:row>
                    <xdr:rowOff>7620</xdr:rowOff>
                  </from>
                  <to>
                    <xdr:col>9</xdr:col>
                    <xdr:colOff>251460</xdr:colOff>
                    <xdr:row>205</xdr:row>
                    <xdr:rowOff>0</xdr:rowOff>
                  </to>
                </anchor>
              </controlPr>
            </control>
          </mc:Choice>
        </mc:AlternateContent>
        <mc:AlternateContent xmlns:mc="http://schemas.openxmlformats.org/markup-compatibility/2006">
          <mc:Choice Requires="x14">
            <control shapeId="176139" r:id="rId15" name="Button 11">
              <controlPr defaultSize="0" print="0" autoFill="0" autoPict="0" macro="[0]!ZeilenEinAusBlendenEinzeln">
                <anchor moveWithCells="1">
                  <from>
                    <xdr:col>9</xdr:col>
                    <xdr:colOff>7620</xdr:colOff>
                    <xdr:row>220</xdr:row>
                    <xdr:rowOff>7620</xdr:rowOff>
                  </from>
                  <to>
                    <xdr:col>9</xdr:col>
                    <xdr:colOff>251460</xdr:colOff>
                    <xdr:row>221</xdr:row>
                    <xdr:rowOff>0</xdr:rowOff>
                  </to>
                </anchor>
              </controlPr>
            </control>
          </mc:Choice>
        </mc:AlternateContent>
        <mc:AlternateContent xmlns:mc="http://schemas.openxmlformats.org/markup-compatibility/2006">
          <mc:Choice Requires="x14">
            <control shapeId="176140" r:id="rId16" name="Button 75">
              <controlPr defaultSize="0" print="0" autoFill="0" autoPict="0" macro="[0]!ZeilenEinAusBlendenEinzeln">
                <anchor moveWithCells="1">
                  <from>
                    <xdr:col>9</xdr:col>
                    <xdr:colOff>7620</xdr:colOff>
                    <xdr:row>111</xdr:row>
                    <xdr:rowOff>7620</xdr:rowOff>
                  </from>
                  <to>
                    <xdr:col>9</xdr:col>
                    <xdr:colOff>251460</xdr:colOff>
                    <xdr:row>112</xdr:row>
                    <xdr:rowOff>0</xdr:rowOff>
                  </to>
                </anchor>
              </controlPr>
            </control>
          </mc:Choice>
        </mc:AlternateContent>
        <mc:AlternateContent xmlns:mc="http://schemas.openxmlformats.org/markup-compatibility/2006">
          <mc:Choice Requires="x14">
            <control shapeId="176141" r:id="rId17" name="Button 85">
              <controlPr defaultSize="0" print="0" autoFill="0" autoPict="0" macro="[0]!ZeilenEinAusBlendenEinzeln">
                <anchor moveWithCells="1">
                  <from>
                    <xdr:col>9</xdr:col>
                    <xdr:colOff>7620</xdr:colOff>
                    <xdr:row>108</xdr:row>
                    <xdr:rowOff>7620</xdr:rowOff>
                  </from>
                  <to>
                    <xdr:col>9</xdr:col>
                    <xdr:colOff>251460</xdr:colOff>
                    <xdr:row>109</xdr:row>
                    <xdr:rowOff>0</xdr:rowOff>
                  </to>
                </anchor>
              </controlPr>
            </control>
          </mc:Choice>
        </mc:AlternateContent>
        <mc:AlternateContent xmlns:mc="http://schemas.openxmlformats.org/markup-compatibility/2006">
          <mc:Choice Requires="x14">
            <control shapeId="176142" r:id="rId18" name="Button 86">
              <controlPr defaultSize="0" print="0" autoFill="0" autoPict="0" macro="[0]!ZeilenEinAusBlendenEinzeln">
                <anchor moveWithCells="1">
                  <from>
                    <xdr:col>9</xdr:col>
                    <xdr:colOff>7620</xdr:colOff>
                    <xdr:row>123</xdr:row>
                    <xdr:rowOff>7620</xdr:rowOff>
                  </from>
                  <to>
                    <xdr:col>9</xdr:col>
                    <xdr:colOff>251460</xdr:colOff>
                    <xdr:row>124</xdr:row>
                    <xdr:rowOff>0</xdr:rowOff>
                  </to>
                </anchor>
              </controlPr>
            </control>
          </mc:Choice>
        </mc:AlternateContent>
        <mc:AlternateContent xmlns:mc="http://schemas.openxmlformats.org/markup-compatibility/2006">
          <mc:Choice Requires="x14">
            <control shapeId="176143" r:id="rId19" name="Button 15">
              <controlPr defaultSize="0" print="0" autoFill="0" autoPict="0" macro="[0]!SpaltenEinAusBlendenEinzeln">
                <anchor moveWithCells="1">
                  <from>
                    <xdr:col>10</xdr:col>
                    <xdr:colOff>7620</xdr:colOff>
                    <xdr:row>1</xdr:row>
                    <xdr:rowOff>7620</xdr:rowOff>
                  </from>
                  <to>
                    <xdr:col>10</xdr:col>
                    <xdr:colOff>251460</xdr:colOff>
                    <xdr:row>1</xdr:row>
                    <xdr:rowOff>251460</xdr:rowOff>
                  </to>
                </anchor>
              </controlPr>
            </control>
          </mc:Choice>
        </mc:AlternateContent>
        <mc:AlternateContent xmlns:mc="http://schemas.openxmlformats.org/markup-compatibility/2006">
          <mc:Choice Requires="x14">
            <control shapeId="176144" r:id="rId20" name="Button 16">
              <controlPr defaultSize="0" print="0" autoFill="0" autoPict="0" macro="[0]!ZeilenEinAusBlendenEinzeln">
                <anchor moveWithCells="1">
                  <from>
                    <xdr:col>9</xdr:col>
                    <xdr:colOff>7620</xdr:colOff>
                    <xdr:row>227</xdr:row>
                    <xdr:rowOff>7620</xdr:rowOff>
                  </from>
                  <to>
                    <xdr:col>9</xdr:col>
                    <xdr:colOff>251460</xdr:colOff>
                    <xdr:row>228</xdr:row>
                    <xdr:rowOff>0</xdr:rowOff>
                  </to>
                </anchor>
              </controlPr>
            </control>
          </mc:Choice>
        </mc:AlternateContent>
        <mc:AlternateContent xmlns:mc="http://schemas.openxmlformats.org/markup-compatibility/2006">
          <mc:Choice Requires="x14">
            <control shapeId="176148" r:id="rId21" name="Button 20">
              <controlPr defaultSize="0" print="0" autoFill="0" autoPict="0" macro="[0]!ZeilenEinAusBlendenEinzeln">
                <anchor moveWithCells="1">
                  <from>
                    <xdr:col>9</xdr:col>
                    <xdr:colOff>7620</xdr:colOff>
                    <xdr:row>240</xdr:row>
                    <xdr:rowOff>7620</xdr:rowOff>
                  </from>
                  <to>
                    <xdr:col>9</xdr:col>
                    <xdr:colOff>251460</xdr:colOff>
                    <xdr:row>241</xdr:row>
                    <xdr:rowOff>0</xdr:rowOff>
                  </to>
                </anchor>
              </controlPr>
            </control>
          </mc:Choice>
        </mc:AlternateContent>
        <mc:AlternateContent xmlns:mc="http://schemas.openxmlformats.org/markup-compatibility/2006">
          <mc:Choice Requires="x14">
            <control shapeId="176149" r:id="rId22" name="Button 21">
              <controlPr defaultSize="0" print="0" autoFill="0" autoPict="0" macro="[0]!ZeilenEinAusBlendenEinzeln">
                <anchor moveWithCells="1">
                  <from>
                    <xdr:col>9</xdr:col>
                    <xdr:colOff>7620</xdr:colOff>
                    <xdr:row>268</xdr:row>
                    <xdr:rowOff>7620</xdr:rowOff>
                  </from>
                  <to>
                    <xdr:col>9</xdr:col>
                    <xdr:colOff>251460</xdr:colOff>
                    <xdr:row>269</xdr:row>
                    <xdr:rowOff>0</xdr:rowOff>
                  </to>
                </anchor>
              </controlPr>
            </control>
          </mc:Choice>
        </mc:AlternateContent>
        <mc:AlternateContent xmlns:mc="http://schemas.openxmlformats.org/markup-compatibility/2006">
          <mc:Choice Requires="x14">
            <control shapeId="176153" r:id="rId23" name="Button 25">
              <controlPr defaultSize="0" print="0" autoFill="0" autoPict="0" macro="[0]!ZeilenEinAusBlendenEinzeln">
                <anchor moveWithCells="1">
                  <from>
                    <xdr:col>9</xdr:col>
                    <xdr:colOff>7620</xdr:colOff>
                    <xdr:row>224</xdr:row>
                    <xdr:rowOff>7620</xdr:rowOff>
                  </from>
                  <to>
                    <xdr:col>9</xdr:col>
                    <xdr:colOff>251460</xdr:colOff>
                    <xdr:row>225</xdr:row>
                    <xdr:rowOff>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manualMax="0" manualMin="0" displayEmptyCellsAs="gap" xr2:uid="{00000000-0003-0000-0200-00000B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Referenz!M125:X125</xm:f>
              <xm:sqref>Y125</xm:sqref>
            </x14:sparkline>
          </x14:sparklines>
        </x14:sparklineGroup>
        <x14:sparklineGroup manualMax="0" manualMin="0" displayEmptyCellsAs="gap" xr2:uid="{00000000-0003-0000-0200-00000C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Referenz!M110:X110</xm:f>
              <xm:sqref>Y110</xm:sqref>
            </x14:sparkline>
          </x14:sparklines>
        </x14:sparklineGroup>
        <x14:sparklineGroup manualMax="0" manualMin="0" displayEmptyCellsAs="gap" xr2:uid="{00000000-0003-0000-0200-00000D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Referenz!M239:X239</xm:f>
              <xm:sqref>Y239</xm:sqref>
            </x14:sparkline>
          </x14:sparklines>
        </x14:sparklineGroup>
        <x14:sparklineGroup manualMax="0" manualMin="0" displayEmptyCellsAs="gap" xr2:uid="{00000000-0003-0000-0200-00000E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Referenz!M176:X176</xm:f>
              <xm:sqref>Y176</xm:sqref>
            </x14:sparkline>
          </x14:sparklines>
        </x14:sparklineGroup>
        <x14:sparklineGroup manualMax="0" manualMin="0" displayEmptyCellsAs="gap" xr2:uid="{00000000-0003-0000-0200-00000F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Referenz!M172:X172</xm:f>
              <xm:sqref>Y172</xm:sqref>
            </x14:sparkline>
          </x14:sparklines>
        </x14:sparklineGroup>
        <x14:sparklineGroup manualMax="0" manualMin="0" displayEmptyCellsAs="gap" xr2:uid="{00000000-0003-0000-0200-000010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Referenz!M229:X229</xm:f>
              <xm:sqref>Y229</xm:sqref>
            </x14:sparkline>
            <x14:sparkline>
              <xm:f>Referenz!M230:X230</xm:f>
              <xm:sqref>Y230</xm:sqref>
            </x14:sparkline>
            <x14:sparkline>
              <xm:f>Referenz!M231:X231</xm:f>
              <xm:sqref>Y231</xm:sqref>
            </x14:sparkline>
            <x14:sparkline>
              <xm:f>Referenz!M232:X232</xm:f>
              <xm:sqref>Y232</xm:sqref>
            </x14:sparkline>
            <x14:sparkline>
              <xm:f>Referenz!M233:X233</xm:f>
              <xm:sqref>Y233</xm:sqref>
            </x14:sparkline>
            <x14:sparkline>
              <xm:f>Referenz!M234:X234</xm:f>
              <xm:sqref>Y234</xm:sqref>
            </x14:sparkline>
            <x14:sparkline>
              <xm:f>Referenz!M235:X235</xm:f>
              <xm:sqref>Y235</xm:sqref>
            </x14:sparkline>
            <x14:sparkline>
              <xm:f>Referenz!M236:X236</xm:f>
              <xm:sqref>Y236</xm:sqref>
            </x14:sparkline>
            <x14:sparkline>
              <xm:f>Referenz!M237:X237</xm:f>
              <xm:sqref>Y237</xm:sqref>
            </x14:sparkline>
            <x14:sparkline>
              <xm:f>Referenz!M238:X238</xm:f>
              <xm:sqref>Y238</xm:sqref>
            </x14:sparkline>
          </x14:sparklines>
        </x14:sparklineGroup>
        <x14:sparklineGroup manualMax="0" manualMin="0" displayEmptyCellsAs="gap" xr2:uid="{00000000-0003-0000-0200-000011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Referenz!M190:X190</xm:f>
              <xm:sqref>Y190</xm:sqref>
            </x14:sparkline>
            <x14:sparkline>
              <xm:f>Referenz!M191:X191</xm:f>
              <xm:sqref>Y191</xm:sqref>
            </x14:sparkline>
            <x14:sparkline>
              <xm:f>Referenz!M192:X192</xm:f>
              <xm:sqref>Y192</xm:sqref>
            </x14:sparkline>
            <x14:sparkline>
              <xm:f>Referenz!M193:X193</xm:f>
              <xm:sqref>Y193</xm:sqref>
            </x14:sparkline>
            <x14:sparkline>
              <xm:f>Referenz!M194:X194</xm:f>
              <xm:sqref>Y194</xm:sqref>
            </x14:sparkline>
            <x14:sparkline>
              <xm:f>Referenz!M195:X195</xm:f>
              <xm:sqref>Y195</xm:sqref>
            </x14:sparkline>
            <x14:sparkline>
              <xm:f>Referenz!M196:X196</xm:f>
              <xm:sqref>Y196</xm:sqref>
            </x14:sparkline>
            <x14:sparkline>
              <xm:f>Referenz!M197:X197</xm:f>
              <xm:sqref>Y197</xm:sqref>
            </x14:sparkline>
            <x14:sparkline>
              <xm:f>Referenz!M198:X198</xm:f>
              <xm:sqref>Y198</xm:sqref>
            </x14:sparkline>
          </x14:sparklines>
        </x14:sparklineGroup>
        <x14:sparklineGroup manualMax="0" manualMin="0" displayEmptyCellsAs="gap" xr2:uid="{00000000-0003-0000-0200-000012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Referenz!M149:X149</xm:f>
              <xm:sqref>Y149</xm:sqref>
            </x14:sparkline>
            <x14:sparkline>
              <xm:f>Referenz!M150:X150</xm:f>
              <xm:sqref>Y150</xm:sqref>
            </x14:sparkline>
            <x14:sparkline>
              <xm:f>Referenz!M151:X151</xm:f>
              <xm:sqref>Y151</xm:sqref>
            </x14:sparkline>
            <x14:sparkline>
              <xm:f>Referenz!M152:X152</xm:f>
              <xm:sqref>Y152</xm:sqref>
            </x14:sparkline>
            <x14:sparkline>
              <xm:f>Referenz!M153:X153</xm:f>
              <xm:sqref>Y153</xm:sqref>
            </x14:sparkline>
            <x14:sparkline>
              <xm:f>Referenz!M154:X154</xm:f>
              <xm:sqref>Y154</xm:sqref>
            </x14:sparkline>
            <x14:sparkline>
              <xm:f>Referenz!M155:X155</xm:f>
              <xm:sqref>Y155</xm:sqref>
            </x14:sparkline>
            <x14:sparkline>
              <xm:f>Referenz!M156:X156</xm:f>
              <xm:sqref>Y156</xm:sqref>
            </x14:sparkline>
            <x14:sparkline>
              <xm:f>Referenz!M157:X157</xm:f>
              <xm:sqref>Y157</xm:sqref>
            </x14:sparkline>
            <x14:sparkline>
              <xm:f>Referenz!M158:X158</xm:f>
              <xm:sqref>Y158</xm:sqref>
            </x14:sparkline>
            <x14:sparkline>
              <xm:f>Referenz!M159:X159</xm:f>
              <xm:sqref>Y159</xm:sqref>
            </x14:sparkline>
            <x14:sparkline>
              <xm:f>Referenz!M160:X160</xm:f>
              <xm:sqref>Y160</xm:sqref>
            </x14:sparkline>
            <x14:sparkline>
              <xm:f>Referenz!M161:X161</xm:f>
              <xm:sqref>Y161</xm:sqref>
            </x14:sparkline>
            <x14:sparkline>
              <xm:f>Referenz!M162:X162</xm:f>
              <xm:sqref>Y162</xm:sqref>
            </x14:sparkline>
            <x14:sparkline>
              <xm:f>Referenz!M163:X163</xm:f>
              <xm:sqref>Y163</xm:sqref>
            </x14:sparkline>
            <x14:sparkline>
              <xm:f>Referenz!M164:X164</xm:f>
              <xm:sqref>Y164</xm:sqref>
            </x14:sparkline>
            <x14:sparkline>
              <xm:f>Referenz!M165:X165</xm:f>
              <xm:sqref>Y165</xm:sqref>
            </x14:sparkline>
            <x14:sparkline>
              <xm:f>Referenz!M166:X166</xm:f>
              <xm:sqref>Y166</xm:sqref>
            </x14:sparkline>
            <x14:sparkline>
              <xm:f>Referenz!M167:X167</xm:f>
              <xm:sqref>Y167</xm:sqref>
            </x14:sparkline>
            <x14:sparkline>
              <xm:f>Referenz!M168:X168</xm:f>
              <xm:sqref>Y168</xm:sqref>
            </x14:sparkline>
            <x14:sparkline>
              <xm:f>Referenz!M169:X169</xm:f>
              <xm:sqref>Y169</xm:sqref>
            </x14:sparkline>
            <x14:sparkline>
              <xm:f>Referenz!M170:X170</xm:f>
              <xm:sqref>Y170</xm:sqref>
            </x14:sparkline>
          </x14:sparklines>
        </x14:sparklineGroup>
        <x14:sparklineGroup manualMax="0" manualMin="0" displayEmptyCellsAs="gap" xr2:uid="{00000000-0003-0000-0200-000013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Referenz!M131:X131</xm:f>
              <xm:sqref>Y131</xm:sqref>
            </x14:sparkline>
            <x14:sparkline>
              <xm:f>Referenz!M132:X132</xm:f>
              <xm:sqref>Y132</xm:sqref>
            </x14:sparkline>
            <x14:sparkline>
              <xm:f>Referenz!M133:X133</xm:f>
              <xm:sqref>Y133</xm:sqref>
            </x14:sparkline>
            <x14:sparkline>
              <xm:f>Referenz!M134:X134</xm:f>
              <xm:sqref>Y134</xm:sqref>
            </x14:sparkline>
            <x14:sparkline>
              <xm:f>Referenz!M135:X135</xm:f>
              <xm:sqref>Y135</xm:sqref>
            </x14:sparkline>
            <x14:sparkline>
              <xm:f>Referenz!M136:X136</xm:f>
              <xm:sqref>Y136</xm:sqref>
            </x14:sparkline>
            <x14:sparkline>
              <xm:f>Referenz!M137:X137</xm:f>
              <xm:sqref>Y137</xm:sqref>
            </x14:sparkline>
            <x14:sparkline>
              <xm:f>Referenz!M138:X138</xm:f>
              <xm:sqref>Y138</xm:sqref>
            </x14:sparkline>
            <x14:sparkline>
              <xm:f>Referenz!M139:X139</xm:f>
              <xm:sqref>Y139</xm:sqref>
            </x14:sparkline>
            <x14:sparkline>
              <xm:f>Referenz!M140:X140</xm:f>
              <xm:sqref>Y140</xm:sqref>
            </x14:sparkline>
            <x14:sparkline>
              <xm:f>Referenz!M141:X141</xm:f>
              <xm:sqref>Y141</xm:sqref>
            </x14:sparkline>
            <x14:sparkline>
              <xm:f>Referenz!M142:X142</xm:f>
              <xm:sqref>Y142</xm:sqref>
            </x14:sparkline>
            <x14:sparkline>
              <xm:f>Referenz!M143:X143</xm:f>
              <xm:sqref>Y143</xm:sqref>
            </x14:sparkline>
            <x14:sparkline>
              <xm:f>Referenz!M144:X144</xm:f>
              <xm:sqref>Y144</xm:sqref>
            </x14:sparkline>
          </x14:sparklines>
        </x14:sparklineGroup>
        <x14:sparklineGroup manualMax="0" manualMin="0" displayEmptyCellsAs="gap" xr2:uid="{00000000-0003-0000-0200-000014000000}">
          <x14:colorSeries rgb="FF376092"/>
          <x14:colorNegative rgb="FFD00000"/>
          <x14:colorAxis rgb="FF000000"/>
          <x14:colorMarkers rgb="FFD00000"/>
          <x14:colorFirst rgb="FFD00000"/>
          <x14:colorLast rgb="FFD00000"/>
          <x14:colorHigh rgb="FFD00000"/>
          <x14:colorLow rgb="FFD00000"/>
          <x14:sparklines>
            <x14:sparkline>
              <xm:f>Referenz!M273:X273</xm:f>
              <xm:sqref>Y273</xm:sqref>
            </x14:sparkline>
            <x14:sparkline>
              <xm:f>Referenz!M274:X274</xm:f>
              <xm:sqref>Y274</xm:sqref>
            </x14:sparkline>
            <x14:sparkline>
              <xm:f>Referenz!M275:X275</xm:f>
              <xm:sqref>Y275</xm:sqref>
            </x14:sparkline>
            <x14:sparkline>
              <xm:f>Referenz!M276:X276</xm:f>
              <xm:sqref>Y276</xm:sqref>
            </x14:sparkline>
            <x14:sparkline>
              <xm:f>Referenz!M277:X277</xm:f>
              <xm:sqref>Y277</xm:sqref>
            </x14:sparkline>
            <x14:sparkline>
              <xm:f>Referenz!M278:X278</xm:f>
              <xm:sqref>Y278</xm:sqref>
            </x14:sparkline>
            <x14:sparkline>
              <xm:f>Referenz!M279:X279</xm:f>
              <xm:sqref>Y279</xm:sqref>
            </x14:sparkline>
            <x14:sparkline>
              <xm:f>Referenz!M280:X280</xm:f>
              <xm:sqref>Y280</xm:sqref>
            </x14:sparkline>
            <x14:sparkline>
              <xm:f>Referenz!M281:X281</xm:f>
              <xm:sqref>Y281</xm:sqref>
            </x14:sparkline>
            <x14:sparkline>
              <xm:f>Referenz!M282:X282</xm:f>
              <xm:sqref>Y282</xm:sqref>
            </x14:sparkline>
            <x14:sparkline>
              <xm:f>Referenz!M283:X283</xm:f>
              <xm:sqref>Y283</xm:sqref>
            </x14:sparkline>
            <x14:sparkline>
              <xm:f>Referenz!M284:X284</xm:f>
              <xm:sqref>Y284</xm:sqref>
            </x14:sparkline>
            <x14:sparkline>
              <xm:f>Referenz!M285:X285</xm:f>
              <xm:sqref>Y285</xm:sqref>
            </x14:sparkline>
            <x14:sparkline>
              <xm:f>Referenz!M286:X286</xm:f>
              <xm:sqref>Y286</xm:sqref>
            </x14:sparkline>
            <x14:sparkline>
              <xm:f>Referenz!M287:X287</xm:f>
              <xm:sqref>Y287</xm:sqref>
            </x14:sparkline>
            <x14:sparkline>
              <xm:f>Referenz!M288:X288</xm:f>
              <xm:sqref>Y288</xm:sqref>
            </x14:sparkline>
            <x14:sparkline>
              <xm:f>Referenz!M289:X289</xm:f>
              <xm:sqref>Y289</xm:sqref>
            </x14:sparkline>
            <x14:sparkline>
              <xm:f>Referenz!M290:X290</xm:f>
              <xm:sqref>Y290</xm:sqref>
            </x14:sparkline>
            <x14:sparkline>
              <xm:f>Referenz!M291:X291</xm:f>
              <xm:sqref>Y291</xm:sqref>
            </x14:sparkline>
            <x14:sparkline>
              <xm:f>Referenz!M292:X292</xm:f>
              <xm:sqref>Y292</xm:sqref>
            </x14:sparkline>
            <x14:sparkline>
              <xm:f>Referenz!M293:X293</xm:f>
              <xm:sqref>Y293</xm:sqref>
            </x14:sparkline>
            <x14:sparkline>
              <xm:f>Referenz!M294:X294</xm:f>
              <xm:sqref>Y294</xm:sqref>
            </x14:sparkline>
            <x14:sparkline>
              <xm:f>Referenz!M295:X295</xm:f>
              <xm:sqref>Y295</xm:sqref>
            </x14:sparkline>
            <x14:sparkline>
              <xm:f>Referenz!M296:X296</xm:f>
              <xm:sqref>Y296</xm:sqref>
            </x14:sparkline>
            <x14:sparkline>
              <xm:f>Referenz!M297:X297</xm:f>
              <xm:sqref>Y297</xm:sqref>
            </x14:sparkline>
            <x14:sparkline>
              <xm:f>Referenz!M298:X298</xm:f>
              <xm:sqref>Y298</xm:sqref>
            </x14:sparkline>
            <x14:sparkline>
              <xm:f>Referenz!M299:X299</xm:f>
              <xm:sqref>Y299</xm:sqref>
            </x14:sparkline>
            <x14:sparkline>
              <xm:f>Referenz!M300:X300</xm:f>
              <xm:sqref>Y300</xm:sqref>
            </x14:sparkline>
            <x14:sparkline>
              <xm:f>Referenz!M301:X301</xm:f>
              <xm:sqref>Y301</xm:sqref>
            </x14:sparkline>
            <x14:sparkline>
              <xm:f>Referenz!M302:X302</xm:f>
              <xm:sqref>Y302</xm:sqref>
            </x14:sparkline>
            <x14:sparkline>
              <xm:f>Referenz!M303:X303</xm:f>
              <xm:sqref>Y303</xm:sqref>
            </x14:sparkline>
            <x14:sparkline>
              <xm:f>Referenz!M304:X304</xm:f>
              <xm:sqref>Y304</xm:sqref>
            </x14:sparkline>
            <x14:sparkline>
              <xm:f>Referenz!M305:X305</xm:f>
              <xm:sqref>Y305</xm:sqref>
            </x14:sparkline>
            <x14:sparkline>
              <xm:f>Referenz!M306:X306</xm:f>
              <xm:sqref>Y306</xm:sqref>
            </x14:sparkline>
            <x14:sparkline>
              <xm:f>Referenz!M307:X307</xm:f>
              <xm:sqref>Y307</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pageSetUpPr fitToPage="1"/>
  </sheetPr>
  <dimension ref="A1:AO277"/>
  <sheetViews>
    <sheetView showGridLines="0" zoomScaleNormal="100" workbookViewId="0">
      <pane ySplit="3" topLeftCell="A4" activePane="bottomLeft" state="frozen"/>
      <selection pane="bottomLeft"/>
    </sheetView>
  </sheetViews>
  <sheetFormatPr baseColWidth="10" defaultColWidth="11.44140625" defaultRowHeight="11.4"/>
  <cols>
    <col min="1" max="1" width="5.5546875" style="37" customWidth="1"/>
    <col min="2" max="2" width="6.33203125" style="37" customWidth="1"/>
    <col min="3" max="3" width="4.33203125" style="37" customWidth="1"/>
    <col min="4" max="4" width="6.33203125" style="37" customWidth="1"/>
    <col min="5" max="5" width="21" style="37" customWidth="1"/>
    <col min="6" max="6" width="11.5546875" style="37" customWidth="1"/>
    <col min="7" max="7" width="8.5546875" style="147" customWidth="1"/>
    <col min="8" max="8" width="8.5546875" style="37" customWidth="1"/>
    <col min="9" max="9" width="10.33203125" style="37" customWidth="1"/>
    <col min="10" max="10" width="8.44140625" style="37" customWidth="1"/>
    <col min="11" max="12" width="3.5546875" style="37" customWidth="1"/>
    <col min="13" max="13" width="4.6640625" style="37" customWidth="1"/>
    <col min="14" max="14" width="20.44140625" style="37" customWidth="1"/>
    <col min="15" max="15" width="20.6640625" style="37" customWidth="1"/>
    <col min="16" max="16" width="33.6640625" style="37" customWidth="1"/>
    <col min="17" max="17" width="3.5546875" style="37" customWidth="1"/>
    <col min="18" max="18" width="4.6640625" style="37" customWidth="1"/>
    <col min="19" max="19" width="1.88671875" style="37" customWidth="1"/>
    <col min="20" max="22" width="6" style="37" customWidth="1"/>
    <col min="23" max="23" width="0.88671875" style="37" customWidth="1"/>
    <col min="24" max="27" width="5.88671875" style="37" customWidth="1"/>
    <col min="28" max="28" width="1.6640625" style="37" customWidth="1"/>
    <col min="29" max="29" width="3.5546875" style="37" customWidth="1"/>
    <col min="30" max="30" width="4.33203125" style="37" customWidth="1"/>
    <col min="31" max="31" width="5.6640625" style="149" hidden="1" customWidth="1"/>
    <col min="32" max="32" width="18" style="149" hidden="1" customWidth="1"/>
    <col min="33" max="38" width="5.6640625" style="149" hidden="1" customWidth="1"/>
    <col min="39" max="41" width="5.33203125" style="149" hidden="1" customWidth="1"/>
    <col min="42" max="16384" width="11.44140625" style="37"/>
  </cols>
  <sheetData>
    <row r="1" spans="1:41" s="19" customFormat="1" ht="13.8">
      <c r="A1" s="65" t="s">
        <v>1777</v>
      </c>
      <c r="B1" s="65"/>
      <c r="C1" s="65"/>
      <c r="D1" s="65"/>
      <c r="E1" s="65"/>
      <c r="F1" s="65"/>
      <c r="G1" s="636"/>
      <c r="H1" s="65"/>
      <c r="I1" s="65"/>
      <c r="J1" s="65"/>
      <c r="L1" s="29" t="s">
        <v>299</v>
      </c>
      <c r="S1" s="1"/>
      <c r="AE1" s="271"/>
      <c r="AF1" s="271"/>
      <c r="AG1" s="271"/>
      <c r="AH1" s="271"/>
      <c r="AI1" s="271"/>
      <c r="AJ1" s="271"/>
      <c r="AK1" s="271"/>
      <c r="AL1" s="271"/>
      <c r="AM1" s="271"/>
      <c r="AN1" s="271"/>
      <c r="AO1" s="271"/>
    </row>
    <row r="2" spans="1:41" s="19" customFormat="1" ht="13.8">
      <c r="G2" s="184"/>
      <c r="J2" s="1128" t="str">
        <f ca="1">Gebaeude!$I$2</f>
        <v>qP,vorh 33,8&lt;=38,5 kWh/(m²a)  |  HT',vorh 0,25&lt;=0,36 W/(m²K)</v>
      </c>
      <c r="L2" s="87">
        <f>COLUMN(N1)</f>
        <v>14</v>
      </c>
      <c r="M2" s="42" t="s">
        <v>2616</v>
      </c>
      <c r="Q2" s="87">
        <f>COLUMN(S1)</f>
        <v>19</v>
      </c>
      <c r="R2" s="42" t="s">
        <v>1123</v>
      </c>
      <c r="S2" s="8"/>
      <c r="AB2" s="87">
        <f>COLUMN(AE1)</f>
        <v>31</v>
      </c>
      <c r="AC2" s="87"/>
      <c r="AD2" s="313"/>
      <c r="AE2" s="271"/>
      <c r="AF2" s="271"/>
      <c r="AG2" s="271"/>
      <c r="AH2" s="271"/>
      <c r="AI2" s="271"/>
      <c r="AJ2" s="271"/>
      <c r="AK2" s="271"/>
      <c r="AL2" s="271"/>
      <c r="AM2" s="271"/>
      <c r="AN2" s="412"/>
      <c r="AO2" s="271"/>
    </row>
    <row r="3" spans="1:41" ht="13.8">
      <c r="A3" s="2" t="s">
        <v>32</v>
      </c>
      <c r="B3" s="18"/>
      <c r="C3" s="18"/>
      <c r="D3" s="18"/>
      <c r="E3" s="134" t="str">
        <f>Gebaeude!$E$4</f>
        <v>Beispielgebäude Wohnhaus</v>
      </c>
      <c r="K3" s="7"/>
      <c r="L3" s="87">
        <f>COLUMN(P1)</f>
        <v>16</v>
      </c>
      <c r="Q3" s="87">
        <f>COLUMN(AB1)</f>
        <v>28</v>
      </c>
      <c r="S3" s="87">
        <f>COLUMN(AA1)</f>
        <v>27</v>
      </c>
      <c r="AB3" s="87">
        <f>COLUMN(AL1)</f>
        <v>38</v>
      </c>
      <c r="AC3" s="87"/>
    </row>
    <row r="4" spans="1:41" ht="13.8">
      <c r="A4" s="65" t="s">
        <v>2614</v>
      </c>
      <c r="B4" s="66"/>
      <c r="C4" s="66"/>
      <c r="D4" s="66"/>
      <c r="E4" s="66"/>
      <c r="F4" s="66"/>
      <c r="G4" s="135"/>
      <c r="H4" s="135"/>
      <c r="I4" s="66"/>
      <c r="J4" s="66"/>
      <c r="K4" s="33"/>
      <c r="L4" s="87">
        <f>ROW(A5)</f>
        <v>5</v>
      </c>
      <c r="M4" s="87">
        <f>ROW(A17)</f>
        <v>17</v>
      </c>
      <c r="AE4" s="375"/>
      <c r="AK4" s="375">
        <f ca="1">COUNTIF(AK5:AK34,"&lt;&gt;0")</f>
        <v>6</v>
      </c>
      <c r="AL4" s="375" t="str">
        <f ca="1">"AI"&amp;ROW(AK5)&amp;":AI"&amp;ROW(AK5)+AK4-1</f>
        <v>AI5:AI10</v>
      </c>
    </row>
    <row r="5" spans="1:41" ht="24">
      <c r="B5" s="371" t="s">
        <v>1718</v>
      </c>
      <c r="C5" s="371"/>
      <c r="D5" s="371"/>
      <c r="E5" s="372"/>
      <c r="F5" s="308" t="s">
        <v>1720</v>
      </c>
      <c r="I5" s="369" t="s">
        <v>1733</v>
      </c>
      <c r="J5" s="370" t="s">
        <v>1779</v>
      </c>
      <c r="K5" s="33"/>
      <c r="L5" s="87"/>
      <c r="M5" s="87"/>
      <c r="AE5" s="375"/>
      <c r="AH5" s="375">
        <f ca="1">COUNTIF(AH6:AH25,"&lt;&gt;0")</f>
        <v>5</v>
      </c>
      <c r="AI5" s="374">
        <f>ROW(A58)-ROW(A36)</f>
        <v>22</v>
      </c>
      <c r="AK5" s="269" t="str">
        <f t="array" aca="1" ref="AK5:AK34" ca="1">AuswahlBauteilOpak(AE6:AE17,AH6:AH25)</f>
        <v>Haustür</v>
      </c>
    </row>
    <row r="6" spans="1:41">
      <c r="B6" s="1223" t="s">
        <v>1736</v>
      </c>
      <c r="C6" s="1224"/>
      <c r="D6" s="1224"/>
      <c r="E6" s="1225"/>
      <c r="F6" s="537"/>
      <c r="I6" s="753">
        <v>1.8</v>
      </c>
      <c r="J6" s="590">
        <v>0.5</v>
      </c>
      <c r="AE6" s="268" t="str">
        <f t="shared" ref="AE6:AE17" si="0">B6</f>
        <v>Haustür</v>
      </c>
      <c r="AG6" s="374">
        <v>1</v>
      </c>
      <c r="AH6" s="269" t="str">
        <f t="shared" ref="AH6:AH25" ca="1" si="1">OFFSET($B$36,(AG6-1)*$AI$5,0)</f>
        <v>Außenwand Kalksandstein mit WDVS</v>
      </c>
      <c r="AK6" s="269" t="str">
        <f ca="1"/>
        <v>Außenwand Kalksandstein mit WDVS</v>
      </c>
    </row>
    <row r="7" spans="1:41">
      <c r="B7" s="1223"/>
      <c r="C7" s="1224"/>
      <c r="D7" s="1224"/>
      <c r="E7" s="1225"/>
      <c r="F7" s="537"/>
      <c r="I7" s="753"/>
      <c r="J7" s="590">
        <v>0.5</v>
      </c>
      <c r="AE7" s="269">
        <f t="shared" si="0"/>
        <v>0</v>
      </c>
      <c r="AG7" s="374">
        <v>2</v>
      </c>
      <c r="AH7" s="269" t="str">
        <f t="shared" ca="1" si="1"/>
        <v>Erdberührte Außenwand</v>
      </c>
      <c r="AK7" s="269" t="str">
        <f ca="1"/>
        <v>Erdberührte Außenwand</v>
      </c>
    </row>
    <row r="8" spans="1:41">
      <c r="B8" s="1223"/>
      <c r="C8" s="1224"/>
      <c r="D8" s="1224"/>
      <c r="E8" s="1225"/>
      <c r="F8" s="537"/>
      <c r="I8" s="753"/>
      <c r="J8" s="590">
        <v>0.5</v>
      </c>
      <c r="AE8" s="269">
        <f t="shared" si="0"/>
        <v>0</v>
      </c>
      <c r="AG8" s="374">
        <v>3</v>
      </c>
      <c r="AH8" s="269" t="str">
        <f t="shared" ca="1" si="1"/>
        <v>Erdberührter Kellerfußboden</v>
      </c>
      <c r="AK8" s="269" t="str">
        <f ca="1"/>
        <v>Erdberührter Kellerfußboden</v>
      </c>
    </row>
    <row r="9" spans="1:41">
      <c r="B9" s="1223"/>
      <c r="C9" s="1224"/>
      <c r="D9" s="1224"/>
      <c r="E9" s="1225"/>
      <c r="F9" s="537"/>
      <c r="I9" s="753"/>
      <c r="J9" s="590">
        <v>0.5</v>
      </c>
      <c r="AE9" s="269">
        <f t="shared" si="0"/>
        <v>0</v>
      </c>
      <c r="AG9" s="374">
        <v>4</v>
      </c>
      <c r="AH9" s="269" t="str">
        <f t="shared" ca="1" si="1"/>
        <v>Kehlbalkenlage</v>
      </c>
      <c r="AK9" s="269" t="str">
        <f ca="1"/>
        <v>Kehlbalkenlage</v>
      </c>
    </row>
    <row r="10" spans="1:41">
      <c r="B10" s="1223"/>
      <c r="C10" s="1224"/>
      <c r="D10" s="1224"/>
      <c r="E10" s="1225"/>
      <c r="F10" s="537"/>
      <c r="I10" s="753"/>
      <c r="J10" s="590">
        <v>0.5</v>
      </c>
      <c r="AE10" s="269">
        <f t="shared" si="0"/>
        <v>0</v>
      </c>
      <c r="AG10" s="374">
        <v>5</v>
      </c>
      <c r="AH10" s="269" t="str">
        <f t="shared" ca="1" si="1"/>
        <v>Dachschräge</v>
      </c>
      <c r="AK10" s="269" t="str">
        <f ca="1"/>
        <v>Dachschräge</v>
      </c>
    </row>
    <row r="11" spans="1:41">
      <c r="B11" s="1223"/>
      <c r="C11" s="1224"/>
      <c r="D11" s="1224"/>
      <c r="E11" s="1225"/>
      <c r="F11" s="537"/>
      <c r="I11" s="753"/>
      <c r="J11" s="590">
        <v>0.5</v>
      </c>
      <c r="AE11" s="269">
        <f t="shared" si="0"/>
        <v>0</v>
      </c>
      <c r="AG11" s="374">
        <v>6</v>
      </c>
      <c r="AH11" s="269">
        <f t="shared" ca="1" si="1"/>
        <v>0</v>
      </c>
      <c r="AK11" s="269">
        <f ca="1"/>
        <v>0</v>
      </c>
    </row>
    <row r="12" spans="1:41">
      <c r="B12" s="1223"/>
      <c r="C12" s="1224"/>
      <c r="D12" s="1224"/>
      <c r="E12" s="1225"/>
      <c r="F12" s="537"/>
      <c r="I12" s="753"/>
      <c r="J12" s="590">
        <v>0.5</v>
      </c>
      <c r="AE12" s="269">
        <f t="shared" si="0"/>
        <v>0</v>
      </c>
      <c r="AG12" s="374">
        <v>7</v>
      </c>
      <c r="AH12" s="269">
        <f t="shared" ca="1" si="1"/>
        <v>0</v>
      </c>
      <c r="AK12" s="269">
        <f ca="1"/>
        <v>0</v>
      </c>
    </row>
    <row r="13" spans="1:41">
      <c r="B13" s="1223"/>
      <c r="C13" s="1224"/>
      <c r="D13" s="1224"/>
      <c r="E13" s="1225"/>
      <c r="F13" s="537"/>
      <c r="I13" s="753"/>
      <c r="J13" s="590">
        <v>0.5</v>
      </c>
      <c r="AE13" s="269">
        <f t="shared" si="0"/>
        <v>0</v>
      </c>
      <c r="AG13" s="374">
        <v>8</v>
      </c>
      <c r="AH13" s="269">
        <f t="shared" ca="1" si="1"/>
        <v>0</v>
      </c>
      <c r="AK13" s="269">
        <f ca="1"/>
        <v>0</v>
      </c>
    </row>
    <row r="14" spans="1:41">
      <c r="B14" s="1223"/>
      <c r="C14" s="1224"/>
      <c r="D14" s="1224"/>
      <c r="E14" s="1225"/>
      <c r="F14" s="537"/>
      <c r="I14" s="753"/>
      <c r="J14" s="590">
        <v>0.5</v>
      </c>
      <c r="AE14" s="269">
        <f t="shared" si="0"/>
        <v>0</v>
      </c>
      <c r="AG14" s="374">
        <v>9</v>
      </c>
      <c r="AH14" s="269">
        <f t="shared" ca="1" si="1"/>
        <v>0</v>
      </c>
      <c r="AK14" s="269">
        <f ca="1"/>
        <v>0</v>
      </c>
    </row>
    <row r="15" spans="1:41">
      <c r="B15" s="1223"/>
      <c r="C15" s="1224"/>
      <c r="D15" s="1224"/>
      <c r="E15" s="1225"/>
      <c r="F15" s="537"/>
      <c r="I15" s="753"/>
      <c r="J15" s="590">
        <v>0.5</v>
      </c>
      <c r="AE15" s="269">
        <f t="shared" si="0"/>
        <v>0</v>
      </c>
      <c r="AG15" s="374">
        <v>10</v>
      </c>
      <c r="AH15" s="269">
        <f t="shared" ca="1" si="1"/>
        <v>0</v>
      </c>
      <c r="AK15" s="269">
        <f ca="1"/>
        <v>0</v>
      </c>
    </row>
    <row r="16" spans="1:41">
      <c r="B16" s="1223"/>
      <c r="C16" s="1224"/>
      <c r="D16" s="1224"/>
      <c r="E16" s="1225"/>
      <c r="F16" s="537"/>
      <c r="I16" s="753"/>
      <c r="J16" s="590">
        <v>0.5</v>
      </c>
      <c r="AE16" s="269">
        <f t="shared" si="0"/>
        <v>0</v>
      </c>
      <c r="AG16" s="374">
        <v>11</v>
      </c>
      <c r="AH16" s="269">
        <f t="shared" ca="1" si="1"/>
        <v>0</v>
      </c>
      <c r="AK16" s="269">
        <f ca="1"/>
        <v>0</v>
      </c>
    </row>
    <row r="17" spans="1:37">
      <c r="B17" s="1223"/>
      <c r="C17" s="1224"/>
      <c r="D17" s="1224"/>
      <c r="E17" s="1225"/>
      <c r="F17" s="537"/>
      <c r="I17" s="753"/>
      <c r="J17" s="590">
        <v>0.5</v>
      </c>
      <c r="AE17" s="269">
        <f t="shared" si="0"/>
        <v>0</v>
      </c>
      <c r="AG17" s="374">
        <v>12</v>
      </c>
      <c r="AH17" s="269">
        <f t="shared" ca="1" si="1"/>
        <v>0</v>
      </c>
      <c r="AK17" s="269">
        <f ca="1"/>
        <v>0</v>
      </c>
    </row>
    <row r="18" spans="1:37">
      <c r="AG18" s="374">
        <v>13</v>
      </c>
      <c r="AH18" s="269">
        <f t="shared" ca="1" si="1"/>
        <v>0</v>
      </c>
      <c r="AK18" s="269">
        <f ca="1"/>
        <v>0</v>
      </c>
    </row>
    <row r="19" spans="1:37" ht="13.8">
      <c r="A19" s="65" t="s">
        <v>1776</v>
      </c>
      <c r="B19" s="66"/>
      <c r="C19" s="66"/>
      <c r="D19" s="66"/>
      <c r="E19" s="66"/>
      <c r="F19" s="66"/>
      <c r="G19" s="135"/>
      <c r="H19" s="135"/>
      <c r="I19" s="66"/>
      <c r="J19" s="66"/>
      <c r="K19" s="33"/>
      <c r="L19" s="87">
        <f>ROW(A20)</f>
        <v>20</v>
      </c>
      <c r="M19" s="87">
        <f>ROW(A32)</f>
        <v>32</v>
      </c>
      <c r="AG19" s="374">
        <v>14</v>
      </c>
      <c r="AH19" s="269">
        <f t="shared" ca="1" si="1"/>
        <v>0</v>
      </c>
      <c r="AK19" s="269">
        <f ca="1"/>
        <v>0</v>
      </c>
    </row>
    <row r="20" spans="1:37" ht="37.799999999999997">
      <c r="B20" s="371" t="s">
        <v>819</v>
      </c>
      <c r="C20" s="371"/>
      <c r="D20" s="371"/>
      <c r="E20" s="372"/>
      <c r="F20" s="308" t="s">
        <v>1720</v>
      </c>
      <c r="G20" s="307" t="s">
        <v>1798</v>
      </c>
      <c r="H20" s="307" t="s">
        <v>1783</v>
      </c>
      <c r="I20" s="369" t="s">
        <v>1733</v>
      </c>
      <c r="J20" s="370" t="s">
        <v>1734</v>
      </c>
      <c r="K20" s="33"/>
      <c r="L20" s="87"/>
      <c r="M20" s="87"/>
      <c r="AE20" s="375">
        <f>COUNTIF(AE21:AE32,"&lt;&gt;0")</f>
        <v>1</v>
      </c>
      <c r="AF20" s="375" t="str">
        <f>"AC"&amp;ROW(AE21)&amp;":AC"&amp;ROW(AE21)+AE20-1</f>
        <v>AC21:AC21</v>
      </c>
      <c r="AG20" s="374">
        <v>15</v>
      </c>
      <c r="AH20" s="269">
        <f t="shared" ca="1" si="1"/>
        <v>0</v>
      </c>
      <c r="AK20" s="269">
        <f ca="1"/>
        <v>0</v>
      </c>
    </row>
    <row r="21" spans="1:37">
      <c r="B21" s="1223" t="s">
        <v>1735</v>
      </c>
      <c r="C21" s="1224"/>
      <c r="D21" s="1224"/>
      <c r="E21" s="1225"/>
      <c r="F21" s="537"/>
      <c r="G21" s="538">
        <v>0.9</v>
      </c>
      <c r="H21" s="538">
        <v>0.7</v>
      </c>
      <c r="I21" s="753">
        <v>0.9</v>
      </c>
      <c r="J21" s="539">
        <v>0.53</v>
      </c>
      <c r="AE21" s="268" t="str">
        <f t="shared" ref="AE21:AE32" si="2">B21</f>
        <v>Fenster AW</v>
      </c>
      <c r="AG21" s="374">
        <v>16</v>
      </c>
      <c r="AH21" s="269">
        <f t="shared" ca="1" si="1"/>
        <v>0</v>
      </c>
      <c r="AK21" s="269">
        <f ca="1"/>
        <v>0</v>
      </c>
    </row>
    <row r="22" spans="1:37">
      <c r="B22" s="1223"/>
      <c r="C22" s="1224"/>
      <c r="D22" s="1224"/>
      <c r="E22" s="1225"/>
      <c r="F22" s="537"/>
      <c r="G22" s="538"/>
      <c r="H22" s="538"/>
      <c r="I22" s="753"/>
      <c r="J22" s="539"/>
      <c r="AE22" s="269">
        <f t="shared" si="2"/>
        <v>0</v>
      </c>
      <c r="AG22" s="374">
        <v>17</v>
      </c>
      <c r="AH22" s="269">
        <f t="shared" ca="1" si="1"/>
        <v>0</v>
      </c>
      <c r="AK22" s="269">
        <f ca="1"/>
        <v>0</v>
      </c>
    </row>
    <row r="23" spans="1:37">
      <c r="B23" s="1223"/>
      <c r="C23" s="1224"/>
      <c r="D23" s="1224"/>
      <c r="E23" s="1225"/>
      <c r="F23" s="537"/>
      <c r="G23" s="538"/>
      <c r="H23" s="538"/>
      <c r="I23" s="753"/>
      <c r="J23" s="539"/>
      <c r="AE23" s="269">
        <f t="shared" si="2"/>
        <v>0</v>
      </c>
      <c r="AG23" s="374">
        <v>18</v>
      </c>
      <c r="AH23" s="269">
        <f t="shared" ca="1" si="1"/>
        <v>0</v>
      </c>
      <c r="AK23" s="269">
        <f ca="1"/>
        <v>0</v>
      </c>
    </row>
    <row r="24" spans="1:37">
      <c r="B24" s="1223"/>
      <c r="C24" s="1224"/>
      <c r="D24" s="1224"/>
      <c r="E24" s="1225"/>
      <c r="F24" s="537"/>
      <c r="G24" s="538"/>
      <c r="H24" s="538"/>
      <c r="I24" s="753"/>
      <c r="J24" s="539"/>
      <c r="AE24" s="269">
        <f t="shared" si="2"/>
        <v>0</v>
      </c>
      <c r="AG24" s="374">
        <v>19</v>
      </c>
      <c r="AH24" s="269">
        <f t="shared" ca="1" si="1"/>
        <v>0</v>
      </c>
      <c r="AK24" s="269">
        <f ca="1"/>
        <v>0</v>
      </c>
    </row>
    <row r="25" spans="1:37">
      <c r="B25" s="1223"/>
      <c r="C25" s="1224"/>
      <c r="D25" s="1224"/>
      <c r="E25" s="1225"/>
      <c r="F25" s="537"/>
      <c r="G25" s="538"/>
      <c r="H25" s="538"/>
      <c r="I25" s="753"/>
      <c r="J25" s="539"/>
      <c r="AE25" s="269">
        <f t="shared" si="2"/>
        <v>0</v>
      </c>
      <c r="AG25" s="374">
        <v>20</v>
      </c>
      <c r="AH25" s="269">
        <f t="shared" ca="1" si="1"/>
        <v>0</v>
      </c>
      <c r="AK25" s="269">
        <f ca="1"/>
        <v>0</v>
      </c>
    </row>
    <row r="26" spans="1:37">
      <c r="B26" s="1223"/>
      <c r="C26" s="1224"/>
      <c r="D26" s="1224"/>
      <c r="E26" s="1225"/>
      <c r="F26" s="537"/>
      <c r="G26" s="538"/>
      <c r="H26" s="538"/>
      <c r="I26" s="753"/>
      <c r="J26" s="539"/>
      <c r="AE26" s="269">
        <f t="shared" si="2"/>
        <v>0</v>
      </c>
      <c r="AK26" s="269">
        <f ca="1"/>
        <v>0</v>
      </c>
    </row>
    <row r="27" spans="1:37">
      <c r="B27" s="1223"/>
      <c r="C27" s="1224"/>
      <c r="D27" s="1224"/>
      <c r="E27" s="1225"/>
      <c r="F27" s="537"/>
      <c r="G27" s="538"/>
      <c r="H27" s="538"/>
      <c r="I27" s="753"/>
      <c r="J27" s="539"/>
      <c r="AE27" s="269">
        <f t="shared" si="2"/>
        <v>0</v>
      </c>
      <c r="AK27" s="269">
        <f ca="1"/>
        <v>0</v>
      </c>
    </row>
    <row r="28" spans="1:37">
      <c r="B28" s="1223"/>
      <c r="C28" s="1224"/>
      <c r="D28" s="1224"/>
      <c r="E28" s="1225"/>
      <c r="F28" s="537"/>
      <c r="G28" s="538"/>
      <c r="H28" s="538"/>
      <c r="I28" s="753"/>
      <c r="J28" s="539"/>
      <c r="AE28" s="269">
        <f t="shared" si="2"/>
        <v>0</v>
      </c>
      <c r="AK28" s="269">
        <f ca="1"/>
        <v>0</v>
      </c>
    </row>
    <row r="29" spans="1:37">
      <c r="B29" s="1223"/>
      <c r="C29" s="1224"/>
      <c r="D29" s="1224"/>
      <c r="E29" s="1225"/>
      <c r="F29" s="537"/>
      <c r="G29" s="538"/>
      <c r="H29" s="538"/>
      <c r="I29" s="753"/>
      <c r="J29" s="539"/>
      <c r="AE29" s="269">
        <f t="shared" si="2"/>
        <v>0</v>
      </c>
      <c r="AK29" s="269">
        <f ca="1"/>
        <v>0</v>
      </c>
    </row>
    <row r="30" spans="1:37">
      <c r="B30" s="1223"/>
      <c r="C30" s="1224"/>
      <c r="D30" s="1224"/>
      <c r="E30" s="1225"/>
      <c r="F30" s="537"/>
      <c r="G30" s="538"/>
      <c r="H30" s="538"/>
      <c r="I30" s="753"/>
      <c r="J30" s="539"/>
      <c r="AE30" s="269">
        <f t="shared" si="2"/>
        <v>0</v>
      </c>
      <c r="AK30" s="269">
        <f ca="1"/>
        <v>0</v>
      </c>
    </row>
    <row r="31" spans="1:37">
      <c r="B31" s="1223"/>
      <c r="C31" s="1224"/>
      <c r="D31" s="1224"/>
      <c r="E31" s="1225"/>
      <c r="F31" s="537"/>
      <c r="G31" s="538"/>
      <c r="H31" s="538"/>
      <c r="I31" s="753"/>
      <c r="J31" s="539"/>
      <c r="AE31" s="269">
        <f t="shared" si="2"/>
        <v>0</v>
      </c>
      <c r="AK31" s="269">
        <f ca="1"/>
        <v>0</v>
      </c>
    </row>
    <row r="32" spans="1:37">
      <c r="B32" s="1223"/>
      <c r="C32" s="1224"/>
      <c r="D32" s="1224"/>
      <c r="E32" s="1225"/>
      <c r="F32" s="537"/>
      <c r="G32" s="538"/>
      <c r="H32" s="538"/>
      <c r="I32" s="753"/>
      <c r="J32" s="539"/>
      <c r="AE32" s="269">
        <f t="shared" si="2"/>
        <v>0</v>
      </c>
      <c r="AK32" s="269">
        <f ca="1"/>
        <v>0</v>
      </c>
    </row>
    <row r="33" spans="1:41">
      <c r="AK33" s="269">
        <f ca="1"/>
        <v>0</v>
      </c>
    </row>
    <row r="34" spans="1:41" s="18" customFormat="1" ht="26.4">
      <c r="A34" s="65" t="s">
        <v>1121</v>
      </c>
      <c r="B34" s="66"/>
      <c r="C34" s="66"/>
      <c r="D34" s="66"/>
      <c r="E34" s="66"/>
      <c r="F34" s="66" t="s">
        <v>1720</v>
      </c>
      <c r="G34" s="135"/>
      <c r="H34" s="66"/>
      <c r="I34" s="368" t="s">
        <v>1733</v>
      </c>
      <c r="J34" s="368" t="s">
        <v>1778</v>
      </c>
      <c r="K34" s="33"/>
      <c r="L34" s="33"/>
      <c r="M34" s="33"/>
      <c r="Q34" s="33"/>
      <c r="R34" s="33"/>
      <c r="T34" s="278"/>
      <c r="U34" s="278"/>
      <c r="V34" s="278"/>
      <c r="AC34" s="19"/>
      <c r="AD34" s="19"/>
      <c r="AE34" s="187"/>
      <c r="AF34" s="187"/>
      <c r="AG34" s="187"/>
      <c r="AH34" s="187"/>
      <c r="AI34" s="187"/>
      <c r="AJ34" s="149"/>
      <c r="AK34" s="269">
        <f ca="1"/>
        <v>0</v>
      </c>
      <c r="AL34" s="149"/>
      <c r="AM34" s="187"/>
      <c r="AN34" s="187"/>
      <c r="AO34" s="187"/>
    </row>
    <row r="35" spans="1:41" s="18" customFormat="1" ht="13.8">
      <c r="A35" s="33"/>
      <c r="B35" s="33"/>
      <c r="C35" s="33"/>
      <c r="D35" s="33"/>
      <c r="E35" s="33"/>
      <c r="F35" s="33"/>
      <c r="G35" s="33"/>
      <c r="H35" s="33"/>
      <c r="I35" s="33"/>
      <c r="J35" s="33"/>
      <c r="K35" s="33"/>
      <c r="L35" s="33"/>
      <c r="M35" s="33"/>
      <c r="Q35" s="33"/>
      <c r="R35" s="33"/>
      <c r="AC35" s="19"/>
      <c r="AD35" s="19"/>
      <c r="AE35" s="187"/>
      <c r="AF35" s="187"/>
      <c r="AG35" s="187"/>
      <c r="AH35" s="187"/>
      <c r="AI35" s="187"/>
      <c r="AJ35" s="149"/>
      <c r="AK35" s="187"/>
      <c r="AL35" s="149"/>
      <c r="AM35" s="187"/>
      <c r="AN35" s="187"/>
      <c r="AO35" s="187"/>
    </row>
    <row r="36" spans="1:41" ht="13.8">
      <c r="A36" s="419" t="s">
        <v>819</v>
      </c>
      <c r="B36" s="1214" t="s">
        <v>2516</v>
      </c>
      <c r="C36" s="1215"/>
      <c r="D36" s="1215"/>
      <c r="E36" s="1215"/>
      <c r="F36" s="1216"/>
      <c r="G36" s="1216"/>
      <c r="H36" s="1216"/>
      <c r="I36" s="523">
        <f ca="1">I56</f>
        <v>0.21081468036774198</v>
      </c>
      <c r="J36" s="737">
        <v>0.5</v>
      </c>
      <c r="K36" s="33"/>
      <c r="L36" s="87">
        <f>ROW(A37)</f>
        <v>37</v>
      </c>
      <c r="M36" s="87">
        <f>ROW(A56)</f>
        <v>56</v>
      </c>
      <c r="N36" s="515">
        <f>(ROW(A36)-ROW($A$36))/(ROW($A$58)-ROW($A$36))+1</f>
        <v>1</v>
      </c>
      <c r="O36" s="216"/>
      <c r="P36" s="216"/>
      <c r="Q36" s="87"/>
      <c r="R36" s="87"/>
      <c r="S36" s="297" t="s">
        <v>3414</v>
      </c>
      <c r="T36" s="294"/>
      <c r="U36" s="293"/>
      <c r="V36" s="293"/>
      <c r="X36" s="297" t="s">
        <v>3415</v>
      </c>
      <c r="Y36" s="297"/>
      <c r="Z36" s="297"/>
      <c r="AA36" s="294"/>
      <c r="AB36" s="298"/>
      <c r="AC36" s="19"/>
      <c r="AD36" s="19"/>
    </row>
    <row r="37" spans="1:41" ht="22.8">
      <c r="A37" s="310" t="s">
        <v>1125</v>
      </c>
      <c r="B37" s="365" t="s">
        <v>1115</v>
      </c>
      <c r="C37" s="1221" t="s">
        <v>3425</v>
      </c>
      <c r="D37" s="1222"/>
      <c r="E37" s="311" t="s">
        <v>1116</v>
      </c>
      <c r="F37" s="770"/>
      <c r="G37" s="771"/>
      <c r="H37" s="306" t="s">
        <v>1120</v>
      </c>
      <c r="I37" s="306" t="s">
        <v>1679</v>
      </c>
      <c r="J37" s="311" t="s">
        <v>1113</v>
      </c>
      <c r="K37" s="33"/>
      <c r="M37" s="57"/>
      <c r="N37" s="387"/>
      <c r="Q37" s="57"/>
      <c r="R37" s="57"/>
      <c r="S37" s="295" t="s">
        <v>3416</v>
      </c>
      <c r="T37" s="1167">
        <v>0</v>
      </c>
      <c r="U37" s="296">
        <v>1</v>
      </c>
      <c r="V37" s="296">
        <v>2</v>
      </c>
      <c r="X37" s="1169" t="s">
        <v>3413</v>
      </c>
      <c r="Y37" s="296"/>
      <c r="Z37" s="296"/>
      <c r="AA37" s="296" t="s">
        <v>3418</v>
      </c>
      <c r="AB37" s="298"/>
      <c r="AC37" s="19"/>
      <c r="AD37" s="19"/>
      <c r="AE37" s="272" t="s">
        <v>824</v>
      </c>
      <c r="AF37" s="197"/>
      <c r="AG37" s="197"/>
      <c r="AH37" s="195" t="s">
        <v>842</v>
      </c>
      <c r="AI37" s="199"/>
      <c r="AJ37" s="289" t="s">
        <v>1671</v>
      </c>
      <c r="AK37" s="289"/>
    </row>
    <row r="38" spans="1:41" ht="13.8">
      <c r="A38" s="312"/>
      <c r="B38" s="306" t="s">
        <v>807</v>
      </c>
      <c r="C38" s="306" t="s">
        <v>3424</v>
      </c>
      <c r="D38" s="306" t="s">
        <v>807</v>
      </c>
      <c r="E38" s="311" t="s">
        <v>806</v>
      </c>
      <c r="F38" s="770"/>
      <c r="G38" s="771"/>
      <c r="H38" s="306" t="s">
        <v>808</v>
      </c>
      <c r="I38" s="306" t="s">
        <v>1122</v>
      </c>
      <c r="J38" s="311" t="s">
        <v>809</v>
      </c>
      <c r="N38" s="387"/>
      <c r="S38" s="295" t="s">
        <v>1114</v>
      </c>
      <c r="T38" s="405">
        <f>1-U38-V38</f>
        <v>1</v>
      </c>
      <c r="U38" s="405">
        <f>IF(C53=0,0,SUMIF($C40:$C51,"H"&amp;U37,$D40:$D51)/C53)</f>
        <v>0</v>
      </c>
      <c r="V38" s="405">
        <f>IF(D53=0,0,SUMIF($C40:$C51,"H"&amp;V37,$D40:$D51)/D53)</f>
        <v>0</v>
      </c>
      <c r="X38" s="407" t="s">
        <v>3423</v>
      </c>
      <c r="Y38" s="407" t="s">
        <v>1910</v>
      </c>
      <c r="Z38" s="407"/>
      <c r="AA38" s="406" t="s">
        <v>3432</v>
      </c>
      <c r="AB38" s="299"/>
      <c r="AC38" s="19"/>
      <c r="AD38" s="19"/>
      <c r="AE38" s="197"/>
      <c r="AF38" s="197"/>
      <c r="AG38" s="197"/>
      <c r="AH38" s="199"/>
      <c r="AI38" s="199"/>
      <c r="AJ38" s="289" t="s">
        <v>1672</v>
      </c>
      <c r="AK38" s="289"/>
    </row>
    <row r="39" spans="1:41" ht="13.8">
      <c r="A39" s="279" t="s">
        <v>810</v>
      </c>
      <c r="B39" s="276"/>
      <c r="C39" s="276"/>
      <c r="D39" s="276"/>
      <c r="E39" s="1217" t="s">
        <v>1118</v>
      </c>
      <c r="F39" s="1218"/>
      <c r="G39" s="1218"/>
      <c r="H39" s="276"/>
      <c r="I39" s="278"/>
      <c r="J39" s="315">
        <f>IF(E39&gt;0,VLOOKUP(E39,Tabellen!$W$5:$Y$12,2,FALSE),0)</f>
        <v>0.13</v>
      </c>
      <c r="N39" s="418" t="s">
        <v>821</v>
      </c>
      <c r="O39" s="418" t="s">
        <v>818</v>
      </c>
      <c r="P39" s="418" t="s">
        <v>820</v>
      </c>
      <c r="S39" s="295" t="s">
        <v>810</v>
      </c>
      <c r="T39" s="403">
        <f>IF(T38&gt;0,$J39,0)</f>
        <v>0.13</v>
      </c>
      <c r="U39" s="403">
        <f>IF(U38&gt;0,$J39,0)</f>
        <v>0</v>
      </c>
      <c r="V39" s="403">
        <f>IF(V38&gt;0,$J39,0)</f>
        <v>0</v>
      </c>
      <c r="X39" s="1169">
        <v>0</v>
      </c>
      <c r="Y39" s="1169">
        <v>1</v>
      </c>
      <c r="Z39" s="1169">
        <v>2</v>
      </c>
      <c r="AA39" s="403">
        <f>J39</f>
        <v>0.13</v>
      </c>
      <c r="AB39" s="299"/>
      <c r="AC39" s="19"/>
      <c r="AD39" s="19"/>
      <c r="AE39" s="197" t="s">
        <v>821</v>
      </c>
      <c r="AF39" s="197" t="s">
        <v>818</v>
      </c>
      <c r="AG39" s="197" t="s">
        <v>820</v>
      </c>
      <c r="AH39" s="199" t="s">
        <v>1678</v>
      </c>
      <c r="AI39" s="199" t="s">
        <v>818</v>
      </c>
    </row>
    <row r="40" spans="1:41" ht="23.4" thickBot="1">
      <c r="A40" s="285">
        <v>1</v>
      </c>
      <c r="B40" s="540">
        <v>10</v>
      </c>
      <c r="C40" s="736"/>
      <c r="D40" s="541"/>
      <c r="E40" s="1219" t="str">
        <f t="shared" ref="E40:E51" si="3">IF(AJ40&gt;1,N40&amp;": "&amp;INDEX(N40:P40,AJ40),"")</f>
        <v>1 Putze, Mörtel, Estriche DIN4108-4 Tab1: 1.1.2  Gipsputzmörtel - rho 1 000 [0,34]</v>
      </c>
      <c r="F40" s="1219"/>
      <c r="G40" s="1220"/>
      <c r="H40" s="534">
        <f ca="1">CHOOSE(AK40,0,
VLOOKUP(P40,OFFSET(INDIRECT("Tabellen!"&amp;AG40),0,0,,2),2,FALSE),
VLOOKUP(P40,OFFSET(INDIRECT("Tabellen!"&amp;AG40),0,0,,3),3,FALSE),
VLOOKUP(P40,OFFSET(INDIRECT("Tabellen!"&amp;AG40),0,0,,3),3,FALSE),
RechLuftschichtRuhend(B40,MATCH(Bauteile!O40,Tabellen!$W$5:$W$12,0)),
VLOOKUP(O40,OFFSET(INDIRECT("Tabellen!"&amp;AF40),0,0,,7),7,FALSE))</f>
        <v>0.34</v>
      </c>
      <c r="I40" s="316">
        <f ca="1">IF(C40="keilförmig","siehe unten",IF(H40&gt;0,B40/1000/H40,0))</f>
        <v>2.9411764705882353E-2</v>
      </c>
      <c r="J40" s="304" t="str">
        <f>IF(AND(C40="keilförmig",(C53+D53&gt;0)),"keilförmig nur homogen",
IF(AND(C39="",C40&lt;&gt;"",B40&lt;&gt;B41),"Dicke " &amp; C40 &amp; " &lt;&gt; Dicke "&amp; C41,
IF(AND(C39&lt;&gt;"",C40&lt;&gt;"",RIGHT(C39,1)&lt;&gt;RIGHT(C40,1),B40&lt;&gt;B41),"Dicke " &amp; C40 &amp; " &lt;&gt; Dicke "&amp; C41,
IF(COUNTIF(b01_x,"=a1")&gt;1,"a1 nur einmal",
IF(COUNTIF(b01_x,"=b1")&gt;1,"b1 nur einmal",
IF(COUNTIF(b01_x,"=a2")&gt;1,"a2 nur einmal",
IF(COUNTIF(b01_x,"=b2")&gt;1,"b2 nur einmal","")))))))</f>
        <v/>
      </c>
      <c r="M40" s="490" t="str">
        <f>IF(C40="keilförmig",IF(H40&gt;0,B40/1000/H40,0),"")</f>
        <v/>
      </c>
      <c r="N40" s="546" t="s">
        <v>2421</v>
      </c>
      <c r="O40" s="547" t="s">
        <v>1194</v>
      </c>
      <c r="P40" s="548" t="s">
        <v>3472</v>
      </c>
      <c r="S40" s="1168" t="str">
        <f>IF(AND(C40&lt;&gt;"keilförmig",C40&lt;&gt;""),VALUE(RIGHT(C40,1)),"")</f>
        <v/>
      </c>
      <c r="T40" s="404">
        <f ca="1">IFERROR(IF($H40=0,0,IF(OR($C40=0,LEFT($C40,1)="G"),$B40/1000/$H40,0)),0)</f>
        <v>2.9411764705882353E-2</v>
      </c>
      <c r="U40" s="404">
        <f ca="1">IFERROR(IF($H40=0,0,IF($C40="H"&amp;U$103,$B40/1000/$H40,IF($C40="G"&amp;U$103,0,$T40))),0)</f>
        <v>2.9411764705882353E-2</v>
      </c>
      <c r="V40" s="404">
        <f ca="1">IFERROR(IF($H40=0,0,IF($C40="H"&amp;V$103,$B40/1000/$H40,IF($C40="G"&amp;V$103,0,$T40))),0)</f>
        <v>2.9411764705882353E-2</v>
      </c>
      <c r="X40" s="319">
        <f ca="1">IFERROR(IF(T40&gt;0,$H40,0)*T38,0)</f>
        <v>0.34</v>
      </c>
      <c r="Y40" s="319">
        <f ca="1">IFERROR(IF(LEFT($C40,1)="H",0,IF(U40&gt;0,$H40,IF($H40=0,0,VLOOKUP("H"&amp;Y39,$C40:$H51,6))))*U$104,0)</f>
        <v>3.2640000000000002E-2</v>
      </c>
      <c r="Z40" s="319">
        <f ca="1">IFERROR(IF(LEFT($C40,1)="H",0,IF(V40&gt;0,$H40,IF($H40=0,0,VLOOKUP("H"&amp;Z$105,$C40:$H51,6))))*V38,0)</f>
        <v>0</v>
      </c>
      <c r="AA40" s="404">
        <f ca="1">IFERROR($B40/1000/SUM(X40:Z40),0)</f>
        <v>2.6835551738943753E-2</v>
      </c>
      <c r="AB40" s="299"/>
      <c r="AC40" s="19"/>
      <c r="AD40" s="19"/>
      <c r="AE40" s="286" t="str">
        <f>AdresseBezug(Tabellen!$O$5:$O$14)</f>
        <v>O5:O14</v>
      </c>
      <c r="AF40" s="286" t="str">
        <f>VLOOKUP(N40,Tabellen!$O$5:$R$57,3,FALSE)</f>
        <v>X60:X62</v>
      </c>
      <c r="AG40" s="286" t="str">
        <f t="shared" ref="AG40:AG51" ca="1" si="4">VLOOKUP(O40,OFFSET(INDIRECT("Tabellen!"&amp;AF40),0,0,,2),2,FALSE)</f>
        <v>q60:q71</v>
      </c>
      <c r="AH40" s="288" t="b">
        <f t="shared" ref="AH40:AH51" ca="1" si="5">ISERROR(VLOOKUP(O40,INDIRECT("Tabellen!"&amp;AF40),1,FALSE))</f>
        <v>0</v>
      </c>
      <c r="AI40" s="288" t="b">
        <f t="shared" ref="AI40:AI51" ca="1" si="6">ISERROR(VLOOKUP(P40,INDIRECT("Tabellen!"&amp;AG40),1,FALSE))</f>
        <v>0</v>
      </c>
      <c r="AJ40" s="287">
        <f>IF(ISERROR(VLOOKUP(N40,Tabellen!$O$5:$R$58,4,FALSE)),1,VLOOKUP(N40,Tabellen!$O$5:$R$58,4,FALSE))</f>
        <v>3</v>
      </c>
      <c r="AK40" s="287">
        <f>IF(ISERROR(VLOOKUP(N40,Tabellen!$O$5:$S$58,5,FALSE)),1,VLOOKUP(N40,Tabellen!$O$5:$S$58,5,FALSE))</f>
        <v>2</v>
      </c>
    </row>
    <row r="41" spans="1:41" ht="24" thickTop="1" thickBot="1">
      <c r="A41" s="285">
        <v>2</v>
      </c>
      <c r="B41" s="542">
        <v>175</v>
      </c>
      <c r="C41" s="736"/>
      <c r="D41" s="543"/>
      <c r="E41" s="1219" t="str">
        <f t="shared" si="3"/>
        <v>4 Mauerwerk DIN4108-4 Tab1: 4.2  Mauerwerk Kalksandsteine - rho 2000  [1,1]</v>
      </c>
      <c r="F41" s="1219"/>
      <c r="G41" s="1220"/>
      <c r="H41" s="534">
        <f ca="1">CHOOSE(AK41,0,
VLOOKUP(P41,OFFSET(INDIRECT("Tabellen!"&amp;AG41),0,0,,2),2,FALSE),
VLOOKUP(P41,OFFSET(INDIRECT("Tabellen!"&amp;AG41),0,0,,3),3,FALSE),
VLOOKUP(P41,OFFSET(INDIRECT("Tabellen!"&amp;AG41),0,0,,3),3,FALSE),
RechLuftschichtRuhend(B41,MATCH(Bauteile!O41,Tabellen!$W$5:$W$12,0)),
VLOOKUP(O41,OFFSET(INDIRECT("Tabellen!"&amp;AF41),0,0,,7),7,FALSE))</f>
        <v>1.1000000000000001</v>
      </c>
      <c r="I41" s="316">
        <f t="shared" ref="I41:I51" ca="1" si="7">IF(C41="keilförmig","siehe unten",IF(H41&gt;0,B41/1000/H41,0))</f>
        <v>0.15909090909090906</v>
      </c>
      <c r="J41" s="304" t="str">
        <f>IF(AND(C41="keilförmig",(C53+D53&gt;0)),"keilförmig nur homogen",
IF(AND(C40="",C41&lt;&gt;"",B41&lt;&gt;B42),"Dicke " &amp; C41 &amp; " &lt;&gt; Dicke "&amp; C42,
IF(AND(C40&lt;&gt;"",C41&lt;&gt;"",RIGHT(C40,1)&lt;&gt;RIGHT(C41,1),B41&lt;&gt;B42),"Dicke " &amp; C41 &amp; " &lt;&gt; Dicke "&amp; C42,
IF(COUNTIF(b01_x,"=a1")&gt;1,"a1 nur einmal",
IF(COUNTIF(b01_x,"=b1")&gt;1,"b1 nur einmal",
IF(COUNTIF(b01_x,"=a2")&gt;1,"a2 nur einmal",
IF(COUNTIF(b01_x,"=b2")&gt;1,"b2 nur einmal","")))))))</f>
        <v/>
      </c>
      <c r="M41" s="490" t="str">
        <f t="shared" ref="M41:M51" si="8">IF(C41="keilförmig",IF(H41&gt;0,B41/1000/H41,0),"")</f>
        <v/>
      </c>
      <c r="N41" s="549" t="s">
        <v>2422</v>
      </c>
      <c r="O41" s="550" t="s">
        <v>1411</v>
      </c>
      <c r="P41" s="551" t="s">
        <v>2517</v>
      </c>
      <c r="S41" s="1168" t="str">
        <f t="shared" ref="S41:S51" si="9">IF(AND(C41&lt;&gt;"keilförmig",C41&lt;&gt;""),VALUE(RIGHT(C41,1)),"")</f>
        <v/>
      </c>
      <c r="T41" s="404">
        <f ca="1">IFERROR(IF($H41=0,0,IF(OR($C41=0,LEFT($C41,1)="G"),$B41/1000/$H41,0)),0)</f>
        <v>0.15909090909090906</v>
      </c>
      <c r="U41" s="404">
        <f t="shared" ref="U41:V51" ca="1" si="10">IFERROR(IF($H41=0,0,IF($C41="H"&amp;U$103,$B41/1000/$H41,IF($C41="G"&amp;U$103,0,$T41))),0)</f>
        <v>0.15909090909090906</v>
      </c>
      <c r="V41" s="404">
        <f t="shared" ca="1" si="10"/>
        <v>0.15909090909090906</v>
      </c>
      <c r="X41" s="319">
        <f ca="1">IFERROR(IF(T41&gt;0,$H41,0)*T38,0)</f>
        <v>1.1000000000000001</v>
      </c>
      <c r="Y41" s="319">
        <f ca="1">IFERROR(IF(LEFT($C41,1)="H",0,IF(U41&gt;0,$H41,IF($H41=0,0,VLOOKUP("H"&amp;Y39,$C40:$H51,6))))*U$104,0)</f>
        <v>0.10560000000000001</v>
      </c>
      <c r="Z41" s="319">
        <f ca="1">IFERROR(IF(LEFT($C41,1)="H",0,IF(V41&gt;0,$H41,IF($H41=0,0,VLOOKUP("H"&amp;Z$105,$C40:$H51,6))))*V38,0)</f>
        <v>0</v>
      </c>
      <c r="AA41" s="404">
        <f t="shared" ref="AA41:AA51" ca="1" si="11">IFERROR($B41/1000/SUM(X41:Z41),0)</f>
        <v>0.14515593895155937</v>
      </c>
      <c r="AB41" s="299"/>
      <c r="AC41" s="19"/>
      <c r="AD41" s="19"/>
      <c r="AE41" s="286" t="str">
        <f>AdresseBezug(Tabellen!$O$5:$O$14)</f>
        <v>O5:O14</v>
      </c>
      <c r="AF41" s="286" t="str">
        <f>VLOOKUP(N41,Tabellen!$O$5:$R$57,3,FALSE)</f>
        <v>X71:X82</v>
      </c>
      <c r="AG41" s="286" t="str">
        <f t="shared" ca="1" si="4"/>
        <v>q237:q245</v>
      </c>
      <c r="AH41" s="288" t="b">
        <f t="shared" ca="1" si="5"/>
        <v>0</v>
      </c>
      <c r="AI41" s="288" t="b">
        <f t="shared" ca="1" si="6"/>
        <v>0</v>
      </c>
      <c r="AJ41" s="287">
        <f>IF(ISERROR(VLOOKUP(N41,Tabellen!$O$5:$R$58,4,FALSE)),1,VLOOKUP(N41,Tabellen!$O$5:$R$58,4,FALSE))</f>
        <v>3</v>
      </c>
      <c r="AK41" s="287">
        <f>IF(ISERROR(VLOOKUP(N41,Tabellen!$O$5:$S$58,5,FALSE)),1,VLOOKUP(N41,Tabellen!$O$5:$S$58,5,FALSE))</f>
        <v>2</v>
      </c>
    </row>
    <row r="42" spans="1:41" ht="24" thickTop="1" thickBot="1">
      <c r="A42" s="285">
        <v>3</v>
      </c>
      <c r="B42" s="542">
        <v>140</v>
      </c>
      <c r="C42" s="736"/>
      <c r="D42" s="543"/>
      <c r="E42" s="1219" t="str">
        <f t="shared" si="3"/>
        <v>5 Wärmedämmstoffe DIN4108-4 Tab2: 5.2 Expand. Polystyrols. (EPS) [0,032] (Expandierter Polystyrolschaum)</v>
      </c>
      <c r="F42" s="1219"/>
      <c r="G42" s="1220"/>
      <c r="H42" s="534">
        <f ca="1">CHOOSE(AK42,0,
VLOOKUP(P42,OFFSET(INDIRECT("Tabellen!"&amp;AG42),0,0,,2),2,FALSE),
VLOOKUP(P42,OFFSET(INDIRECT("Tabellen!"&amp;AG42),0,0,,3),3,FALSE),
VLOOKUP(P42,OFFSET(INDIRECT("Tabellen!"&amp;AG42),0,0,,3),3,FALSE),
RechLuftschichtRuhend(B42,MATCH(Bauteile!O42,Tabellen!$W$5:$W$12,0)),
VLOOKUP(O42,OFFSET(INDIRECT("Tabellen!"&amp;AF42),0,0,,7),7,FALSE))</f>
        <v>3.2000000000000001E-2</v>
      </c>
      <c r="I42" s="316">
        <f t="shared" ca="1" si="7"/>
        <v>4.375</v>
      </c>
      <c r="J42" s="304" t="str">
        <f>IF(AND(C42="keilförmig",(C53+D53&gt;0)),"keilförmig nur homogen",
IF(AND(C41="",C42&lt;&gt;"",B42&lt;&gt;B43),"Dicke " &amp; C42 &amp; " &lt;&gt; Dicke "&amp; C43,
IF(AND(C41&lt;&gt;"",C42&lt;&gt;"",RIGHT(C41,1)&lt;&gt;RIGHT(C42,1),B42&lt;&gt;B43),"Dicke " &amp; C42 &amp; " &lt;&gt; Dicke "&amp; C43,
IF(COUNTIF(b01_x,"=a1")&gt;1,"a1 nur einmal",
IF(COUNTIF(b01_x,"=b1")&gt;1,"b1 nur einmal",
IF(COUNTIF(b01_x,"=a2")&gt;1,"a2 nur einmal",
IF(COUNTIF(b01_x,"=b2")&gt;1,"b2 nur einmal","")))))))</f>
        <v/>
      </c>
      <c r="M42" s="490" t="str">
        <f t="shared" si="8"/>
        <v/>
      </c>
      <c r="N42" s="546" t="s">
        <v>2419</v>
      </c>
      <c r="O42" s="547" t="s">
        <v>1465</v>
      </c>
      <c r="P42" s="548" t="s">
        <v>2518</v>
      </c>
      <c r="S42" s="1168" t="str">
        <f t="shared" si="9"/>
        <v/>
      </c>
      <c r="T42" s="404">
        <f t="shared" ref="T42:T51" ca="1" si="12">IFERROR(IF($H42=0,0,IF(OR($C42=0,LEFT($C42,1)="G"),$B42/1000/$H42,0)),0)</f>
        <v>4.375</v>
      </c>
      <c r="U42" s="404">
        <f t="shared" ca="1" si="10"/>
        <v>4.375</v>
      </c>
      <c r="V42" s="404">
        <f t="shared" ca="1" si="10"/>
        <v>4.375</v>
      </c>
      <c r="X42" s="319">
        <f ca="1">IFERROR(IF(T42&gt;0,$H42,0)*T38,0)</f>
        <v>3.2000000000000001E-2</v>
      </c>
      <c r="Y42" s="319">
        <f ca="1">IFERROR(IF(LEFT($C42,1)="H",0,IF(U42&gt;0,$H42,IF($H42=0,0,VLOOKUP("H"&amp;Y39,$C40:$H51,6))))*U$104,0)</f>
        <v>3.0720000000000001E-3</v>
      </c>
      <c r="Z42" s="319">
        <f ca="1">IFERROR(IF(LEFT($C42,1)="H",0,IF(V42&gt;0,$H42,IF($H42=0,0,VLOOKUP("H"&amp;Z$105,$C40:$H51,6))))*V38,0)</f>
        <v>0</v>
      </c>
      <c r="AA42" s="404">
        <f t="shared" ca="1" si="11"/>
        <v>3.9917883211678835</v>
      </c>
      <c r="AB42" s="300"/>
      <c r="AC42" s="19"/>
      <c r="AD42" s="19"/>
      <c r="AE42" s="286" t="str">
        <f>AdresseBezug(Tabellen!$O$5:$O$14)</f>
        <v>O5:O14</v>
      </c>
      <c r="AF42" s="286" t="str">
        <f>VLOOKUP(N42,Tabellen!$O$5:$R$57,3,FALSE)</f>
        <v>X468:X481</v>
      </c>
      <c r="AG42" s="286" t="str">
        <f t="shared" ca="1" si="4"/>
        <v>p489:p509</v>
      </c>
      <c r="AH42" s="288" t="b">
        <f t="shared" ca="1" si="5"/>
        <v>0</v>
      </c>
      <c r="AI42" s="288" t="b">
        <f t="shared" ca="1" si="6"/>
        <v>0</v>
      </c>
      <c r="AJ42" s="287">
        <f>IF(ISERROR(VLOOKUP(N42,Tabellen!$O$5:$R$58,4,FALSE)),1,VLOOKUP(N42,Tabellen!$O$5:$R$58,4,FALSE))</f>
        <v>3</v>
      </c>
      <c r="AK42" s="287">
        <f>IF(ISERROR(VLOOKUP(N42,Tabellen!$O$5:$S$58,5,FALSE)),1,VLOOKUP(N42,Tabellen!$O$5:$S$58,5,FALSE))</f>
        <v>3</v>
      </c>
    </row>
    <row r="43" spans="1:41" ht="24" thickTop="1" thickBot="1">
      <c r="A43" s="285">
        <v>4</v>
      </c>
      <c r="B43" s="542">
        <v>7</v>
      </c>
      <c r="C43" s="736"/>
      <c r="D43" s="543"/>
      <c r="E43" s="1219" t="str">
        <f t="shared" si="3"/>
        <v>1 Putze, Mörtel, Estriche DIN4108-4 Tab1: 1.1.7  Kunstharzputz [0,7]</v>
      </c>
      <c r="F43" s="1219"/>
      <c r="G43" s="1220"/>
      <c r="H43" s="534">
        <f ca="1">CHOOSE(AK43,0,
VLOOKUP(P43,OFFSET(INDIRECT("Tabellen!"&amp;AG43),0,0,,2),2,FALSE),
VLOOKUP(P43,OFFSET(INDIRECT("Tabellen!"&amp;AG43),0,0,,3),3,FALSE),
VLOOKUP(P43,OFFSET(INDIRECT("Tabellen!"&amp;AG43),0,0,,3),3,FALSE),
RechLuftschichtRuhend(B43,MATCH(Bauteile!O43,Tabellen!$W$5:$W$12,0)),
VLOOKUP(O43,OFFSET(INDIRECT("Tabellen!"&amp;AF43),0,0,,7),7,FALSE))</f>
        <v>0.7</v>
      </c>
      <c r="I43" s="316">
        <f t="shared" ca="1" si="7"/>
        <v>0.01</v>
      </c>
      <c r="J43" s="304" t="str">
        <f>IF(AND(C43="keilförmig",(C53+D53&gt;0)),"keilförmig nur homogen",
IF(AND(C42="",C43&lt;&gt;"",B43&lt;&gt;B44),"Dicke " &amp; C43 &amp; " &lt;&gt; Dicke "&amp; C44,
IF(AND(C42&lt;&gt;"",C43&lt;&gt;"",RIGHT(C42,1)&lt;&gt;RIGHT(C43,1),B43&lt;&gt;B44),"Dicke " &amp; C43 &amp; " &lt;&gt; Dicke "&amp; C44,
IF(COUNTIF(b01_x,"=a1")&gt;1,"a1 nur einmal",
IF(COUNTIF(b01_x,"=b1")&gt;1,"b1 nur einmal",
IF(COUNTIF(b01_x,"=a2")&gt;1,"a2 nur einmal",
IF(COUNTIF(b01_x,"=b2")&gt;1,"b2 nur einmal","")))))))</f>
        <v/>
      </c>
      <c r="M43" s="490" t="str">
        <f t="shared" si="8"/>
        <v/>
      </c>
      <c r="N43" s="549" t="s">
        <v>2421</v>
      </c>
      <c r="O43" s="550" t="s">
        <v>1194</v>
      </c>
      <c r="P43" s="551" t="s">
        <v>3341</v>
      </c>
      <c r="S43" s="1168" t="str">
        <f t="shared" si="9"/>
        <v/>
      </c>
      <c r="T43" s="404">
        <f t="shared" ca="1" si="12"/>
        <v>0.01</v>
      </c>
      <c r="U43" s="404">
        <f t="shared" ca="1" si="10"/>
        <v>0.01</v>
      </c>
      <c r="V43" s="404">
        <f t="shared" ca="1" si="10"/>
        <v>0.01</v>
      </c>
      <c r="X43" s="319">
        <f ca="1">IFERROR(IF(T43&gt;0,$H43,0)*T38,0)</f>
        <v>0.7</v>
      </c>
      <c r="Y43" s="319">
        <f ca="1">IFERROR(IF(LEFT($C43,1)="H",0,IF(U43&gt;0,$H43,IF($H43=0,0,VLOOKUP("H"&amp;Y39,$C40:$H51,6))))*U$104,0)</f>
        <v>6.7199999999999996E-2</v>
      </c>
      <c r="Z43" s="319">
        <f ca="1">IFERROR(IF(LEFT($C43,1)="H",0,IF(V43&gt;0,$H43,IF($H43=0,0,VLOOKUP("H"&amp;Z$105,$C40:$H51,6))))*V38,0)</f>
        <v>0</v>
      </c>
      <c r="AA43" s="404">
        <f t="shared" ca="1" si="11"/>
        <v>9.1240875912408769E-3</v>
      </c>
      <c r="AB43" s="300"/>
      <c r="AC43" s="19"/>
      <c r="AD43" s="19"/>
      <c r="AE43" s="286" t="str">
        <f>AdresseBezug(Tabellen!$O$5:$O$14)</f>
        <v>O5:O14</v>
      </c>
      <c r="AF43" s="286" t="str">
        <f>VLOOKUP(N43,Tabellen!$O$5:$R$57,3,FALSE)</f>
        <v>X60:X62</v>
      </c>
      <c r="AG43" s="286" t="str">
        <f t="shared" ca="1" si="4"/>
        <v>q60:q71</v>
      </c>
      <c r="AH43" s="288" t="b">
        <f t="shared" ca="1" si="5"/>
        <v>0</v>
      </c>
      <c r="AI43" s="288" t="b">
        <f t="shared" ca="1" si="6"/>
        <v>0</v>
      </c>
      <c r="AJ43" s="287">
        <f>IF(ISERROR(VLOOKUP(N43,Tabellen!$O$5:$R$58,4,FALSE)),1,VLOOKUP(N43,Tabellen!$O$5:$R$58,4,FALSE))</f>
        <v>3</v>
      </c>
      <c r="AK43" s="287">
        <f>IF(ISERROR(VLOOKUP(N43,Tabellen!$O$5:$S$58,5,FALSE)),1,VLOOKUP(N43,Tabellen!$O$5:$S$58,5,FALSE))</f>
        <v>2</v>
      </c>
    </row>
    <row r="44" spans="1:41" ht="24" thickTop="1" thickBot="1">
      <c r="A44" s="285">
        <v>5</v>
      </c>
      <c r="B44" s="542"/>
      <c r="C44" s="736"/>
      <c r="D44" s="543"/>
      <c r="E44" s="1219" t="str">
        <f t="shared" si="3"/>
        <v>1 Putze, Mörtel, Estriche DIN4108-4 Tab1: 1.1.2  Gipsputzmörtel - rho 1 000 [0,34]</v>
      </c>
      <c r="F44" s="1219"/>
      <c r="G44" s="1220"/>
      <c r="H44" s="534">
        <f ca="1">CHOOSE(AK44,0,
VLOOKUP(P44,OFFSET(INDIRECT("Tabellen!"&amp;AG44),0,0,,2),2,FALSE),
VLOOKUP(P44,OFFSET(INDIRECT("Tabellen!"&amp;AG44),0,0,,3),3,FALSE),
VLOOKUP(P44,OFFSET(INDIRECT("Tabellen!"&amp;AG44),0,0,,3),3,FALSE),
RechLuftschichtRuhend(B44,MATCH(Bauteile!O44,Tabellen!$W$5:$W$12,0)),
VLOOKUP(O44,OFFSET(INDIRECT("Tabellen!"&amp;AF44),0,0,,7),7,FALSE))</f>
        <v>0.34</v>
      </c>
      <c r="I44" s="316">
        <f t="shared" ca="1" si="7"/>
        <v>0</v>
      </c>
      <c r="J44" s="304" t="str">
        <f>IF(AND(C44="keilförmig",(C53+D53&gt;0)),"keilförmig nur homogen",
IF(AND(C43="",C44&lt;&gt;"",B44&lt;&gt;B45),"Dicke " &amp; C44 &amp; " &lt;&gt; Dicke "&amp; C45,
IF(AND(C43&lt;&gt;"",C44&lt;&gt;"",RIGHT(C43,1)&lt;&gt;RIGHT(C44,1),B44&lt;&gt;B45),"Dicke " &amp; C44 &amp; " &lt;&gt; Dicke "&amp; C45,
IF(COUNTIF(b01_x,"=a1")&gt;1,"a1 nur einmal",
IF(COUNTIF(b01_x,"=b1")&gt;1,"b1 nur einmal",
IF(COUNTIF(b01_x,"=a2")&gt;1,"a2 nur einmal",
IF(COUNTIF(b01_x,"=b2")&gt;1,"b2 nur einmal","")))))))</f>
        <v/>
      </c>
      <c r="M44" s="490" t="str">
        <f t="shared" si="8"/>
        <v/>
      </c>
      <c r="N44" s="549" t="s">
        <v>2421</v>
      </c>
      <c r="O44" s="550" t="s">
        <v>1194</v>
      </c>
      <c r="P44" s="551" t="s">
        <v>3472</v>
      </c>
      <c r="S44" s="1168" t="str">
        <f t="shared" si="9"/>
        <v/>
      </c>
      <c r="T44" s="404">
        <f t="shared" ca="1" si="12"/>
        <v>0</v>
      </c>
      <c r="U44" s="404">
        <f t="shared" ca="1" si="10"/>
        <v>0</v>
      </c>
      <c r="V44" s="404">
        <f t="shared" ca="1" si="10"/>
        <v>0</v>
      </c>
      <c r="X44" s="319">
        <f ca="1">IFERROR(IF(T44&gt;0,$H44,0)*T38,0)</f>
        <v>0</v>
      </c>
      <c r="Y44" s="319">
        <f ca="1">IFERROR(IF(LEFT($C44,1)="H",0,IF(U44&gt;0,$H44,IF($H44=0,0,VLOOKUP("H"&amp;Y39,$C40:$H51,6))))*U$104,0)</f>
        <v>0</v>
      </c>
      <c r="Z44" s="319">
        <f ca="1">IFERROR(IF(LEFT($C44,1)="H",0,IF(V44&gt;0,$H44,IF($H44=0,0,VLOOKUP("H"&amp;Z$105,$C40:$H51,6))))*V38,0)</f>
        <v>0</v>
      </c>
      <c r="AA44" s="404">
        <f t="shared" ca="1" si="11"/>
        <v>0</v>
      </c>
      <c r="AB44" s="299"/>
      <c r="AC44" s="19"/>
      <c r="AD44" s="19"/>
      <c r="AE44" s="286" t="str">
        <f>AdresseBezug(Tabellen!$O$5:$O$14)</f>
        <v>O5:O14</v>
      </c>
      <c r="AF44" s="286" t="str">
        <f>VLOOKUP(N44,Tabellen!$O$5:$R$57,3,FALSE)</f>
        <v>X60:X62</v>
      </c>
      <c r="AG44" s="286" t="str">
        <f t="shared" ca="1" si="4"/>
        <v>q60:q71</v>
      </c>
      <c r="AH44" s="288" t="b">
        <f t="shared" ca="1" si="5"/>
        <v>0</v>
      </c>
      <c r="AI44" s="288" t="b">
        <f t="shared" ca="1" si="6"/>
        <v>0</v>
      </c>
      <c r="AJ44" s="287">
        <f>IF(ISERROR(VLOOKUP(N44,Tabellen!$O$5:$R$58,4,FALSE)),1,VLOOKUP(N44,Tabellen!$O$5:$R$58,4,FALSE))</f>
        <v>3</v>
      </c>
      <c r="AK44" s="287">
        <f>IF(ISERROR(VLOOKUP(N44,Tabellen!$O$5:$S$58,5,FALSE)),1,VLOOKUP(N44,Tabellen!$O$5:$S$58,5,FALSE))</f>
        <v>2</v>
      </c>
    </row>
    <row r="45" spans="1:41" ht="15" thickTop="1" thickBot="1">
      <c r="A45" s="285">
        <v>6</v>
      </c>
      <c r="B45" s="542"/>
      <c r="C45" s="736"/>
      <c r="D45" s="543"/>
      <c r="E45" s="1219" t="str">
        <f t="shared" si="3"/>
        <v/>
      </c>
      <c r="F45" s="1219"/>
      <c r="G45" s="1220"/>
      <c r="H45" s="534">
        <f ca="1">CHOOSE(AK45,0,
VLOOKUP(P45,OFFSET(INDIRECT("Tabellen!"&amp;AG45),0,0,,2),2,FALSE),
VLOOKUP(P45,OFFSET(INDIRECT("Tabellen!"&amp;AG45),0,0,,3),3,FALSE),
VLOOKUP(P45,OFFSET(INDIRECT("Tabellen!"&amp;AG45),0,0,,3),3,FALSE),
RechLuftschichtRuhend(B45,MATCH(Bauteile!O45,Tabellen!$W$5:$W$12,0)),
VLOOKUP(O45,OFFSET(INDIRECT("Tabellen!"&amp;AF45),0,0,,7),7,FALSE))</f>
        <v>0</v>
      </c>
      <c r="I45" s="316">
        <f t="shared" ca="1" si="7"/>
        <v>0</v>
      </c>
      <c r="J45" s="304" t="str">
        <f>IF(AND(C45="keilförmig",(C53+D53&gt;0)),"keilförmig nur homogen",
IF(AND(C44="",C45&lt;&gt;"",B45&lt;&gt;B46),"Dicke " &amp; C45 &amp; " &lt;&gt; Dicke "&amp; C46,
IF(AND(C44&lt;&gt;"",C45&lt;&gt;"",RIGHT(C44,1)&lt;&gt;RIGHT(C45,1),B45&lt;&gt;B46),"Dicke " &amp; C45 &amp; " &lt;&gt; Dicke "&amp; C46,
IF(COUNTIF(b01_x,"=a1")&gt;1,"a1 nur einmal",
IF(COUNTIF(b01_x,"=b1")&gt;1,"b1 nur einmal",
IF(COUNTIF(b01_x,"=a2")&gt;1,"a2 nur einmal",
IF(COUNTIF(b01_x,"=b2")&gt;1,"b2 nur einmal","")))))))</f>
        <v/>
      </c>
      <c r="M45" s="490" t="str">
        <f t="shared" si="8"/>
        <v/>
      </c>
      <c r="N45" s="549"/>
      <c r="O45" s="550"/>
      <c r="P45" s="554"/>
      <c r="S45" s="1168" t="str">
        <f t="shared" si="9"/>
        <v/>
      </c>
      <c r="T45" s="404">
        <f t="shared" ca="1" si="12"/>
        <v>0</v>
      </c>
      <c r="U45" s="404">
        <f t="shared" ca="1" si="10"/>
        <v>0</v>
      </c>
      <c r="V45" s="404">
        <f t="shared" ca="1" si="10"/>
        <v>0</v>
      </c>
      <c r="X45" s="319">
        <f ca="1">IFERROR(IF(T45&gt;0,$H45,0)*T38,0)</f>
        <v>0</v>
      </c>
      <c r="Y45" s="319">
        <f ca="1">IFERROR(IF(LEFT($C45,1)="H",0,IF(U45&gt;0,$H45,IF($H45=0,0,VLOOKUP("H"&amp;Y39,$C40:$H51,6))))*U$104,0)</f>
        <v>0</v>
      </c>
      <c r="Z45" s="319">
        <f ca="1">IFERROR(IF(LEFT($C45,1)="H",0,IF(V45&gt;0,$H45,IF($H45=0,0,VLOOKUP("H"&amp;Z$105,$C40:$H51,6))))*V38,0)</f>
        <v>0</v>
      </c>
      <c r="AA45" s="404">
        <f t="shared" ca="1" si="11"/>
        <v>0</v>
      </c>
      <c r="AB45" s="299"/>
      <c r="AC45" s="19"/>
      <c r="AD45" s="19"/>
      <c r="AE45" s="286" t="str">
        <f>AdresseBezug(Tabellen!$O$5:$O$14)</f>
        <v>O5:O14</v>
      </c>
      <c r="AF45" s="286" t="e">
        <f>VLOOKUP(N45,Tabellen!$O$5:$R$57,3,FALSE)</f>
        <v>#N/A</v>
      </c>
      <c r="AG45" s="286" t="e">
        <f t="shared" ca="1" si="4"/>
        <v>#N/A</v>
      </c>
      <c r="AH45" s="288" t="b">
        <f t="shared" ca="1" si="5"/>
        <v>1</v>
      </c>
      <c r="AI45" s="288" t="b">
        <f t="shared" ca="1" si="6"/>
        <v>1</v>
      </c>
      <c r="AJ45" s="287">
        <f>IF(ISERROR(VLOOKUP(N45,Tabellen!$O$5:$R$58,4,FALSE)),1,VLOOKUP(N45,Tabellen!$O$5:$R$58,4,FALSE))</f>
        <v>1</v>
      </c>
      <c r="AK45" s="287">
        <f>IF(ISERROR(VLOOKUP(N45,Tabellen!$O$5:$S$58,5,FALSE)),1,VLOOKUP(N45,Tabellen!$O$5:$S$58,5,FALSE))</f>
        <v>1</v>
      </c>
    </row>
    <row r="46" spans="1:41" ht="15" thickTop="1" thickBot="1">
      <c r="A46" s="285">
        <v>7</v>
      </c>
      <c r="B46" s="542"/>
      <c r="C46" s="736"/>
      <c r="D46" s="543"/>
      <c r="E46" s="1219" t="str">
        <f t="shared" si="3"/>
        <v/>
      </c>
      <c r="F46" s="1219"/>
      <c r="G46" s="1220"/>
      <c r="H46" s="534">
        <f ca="1">CHOOSE(AK46,0,
VLOOKUP(P46,OFFSET(INDIRECT("Tabellen!"&amp;AG46),0,0,,2),2,FALSE),
VLOOKUP(P46,OFFSET(INDIRECT("Tabellen!"&amp;AG46),0,0,,3),3,FALSE),
VLOOKUP(P46,OFFSET(INDIRECT("Tabellen!"&amp;AG46),0,0,,3),3,FALSE),
RechLuftschichtRuhend(B46,MATCH(Bauteile!O46,Tabellen!$W$5:$W$12,0)),
VLOOKUP(O46,OFFSET(INDIRECT("Tabellen!"&amp;AF46),0,0,,7),7,FALSE))</f>
        <v>0</v>
      </c>
      <c r="I46" s="316">
        <f t="shared" ca="1" si="7"/>
        <v>0</v>
      </c>
      <c r="J46" s="304" t="str">
        <f>IF(AND(C46="keilförmig",(C53+D53&gt;0)),"keilförmig nur homogen",
IF(AND(C45="",C46&lt;&gt;"",B46&lt;&gt;B47),"Dicke " &amp; C46 &amp; " &lt;&gt; Dicke "&amp; C47,
IF(AND(C45&lt;&gt;"",C46&lt;&gt;"",RIGHT(C45,1)&lt;&gt;RIGHT(C46,1),B46&lt;&gt;B47),"Dicke " &amp; C46 &amp; " &lt;&gt; Dicke "&amp; C47,
IF(COUNTIF(b01_x,"=a1")&gt;1,"a1 nur einmal",
IF(COUNTIF(b01_x,"=b1")&gt;1,"b1 nur einmal",
IF(COUNTIF(b01_x,"=a2")&gt;1,"a2 nur einmal",
IF(COUNTIF(b01_x,"=b2")&gt;1,"b2 nur einmal","")))))))</f>
        <v/>
      </c>
      <c r="M46" s="490" t="str">
        <f t="shared" si="8"/>
        <v/>
      </c>
      <c r="N46" s="552"/>
      <c r="O46" s="553"/>
      <c r="P46" s="554"/>
      <c r="S46" s="1168" t="str">
        <f t="shared" si="9"/>
        <v/>
      </c>
      <c r="T46" s="404">
        <f t="shared" ca="1" si="12"/>
        <v>0</v>
      </c>
      <c r="U46" s="404">
        <f t="shared" ca="1" si="10"/>
        <v>0</v>
      </c>
      <c r="V46" s="404">
        <f t="shared" ca="1" si="10"/>
        <v>0</v>
      </c>
      <c r="X46" s="319">
        <f ca="1">IFERROR(IF(T46&gt;0,$H46,0)*T38,0)</f>
        <v>0</v>
      </c>
      <c r="Y46" s="319">
        <f ca="1">IFERROR(IF(LEFT($C46,1)="H",0,IF(U46&gt;0,$H46,IF($H46=0,0,VLOOKUP("H"&amp;Y39,$C40:$H51,6))))*U$104,0)</f>
        <v>0</v>
      </c>
      <c r="Z46" s="319">
        <f ca="1">IFERROR(IF(LEFT($C46,1)="H",0,IF(V46&gt;0,$H46,IF($H46=0,0,VLOOKUP("H"&amp;Z$105,$C40:$H51,6))))*V38,0)</f>
        <v>0</v>
      </c>
      <c r="AA46" s="404">
        <f t="shared" ca="1" si="11"/>
        <v>0</v>
      </c>
      <c r="AB46" s="299"/>
      <c r="AC46" s="19"/>
      <c r="AD46" s="19"/>
      <c r="AE46" s="286" t="str">
        <f>AdresseBezug(Tabellen!$O$5:$O$14)</f>
        <v>O5:O14</v>
      </c>
      <c r="AF46" s="286" t="e">
        <f>VLOOKUP(N46,Tabellen!$O$5:$R$57,3,FALSE)</f>
        <v>#N/A</v>
      </c>
      <c r="AG46" s="286" t="e">
        <f t="shared" ca="1" si="4"/>
        <v>#N/A</v>
      </c>
      <c r="AH46" s="288" t="b">
        <f t="shared" ca="1" si="5"/>
        <v>1</v>
      </c>
      <c r="AI46" s="288" t="b">
        <f t="shared" ca="1" si="6"/>
        <v>1</v>
      </c>
      <c r="AJ46" s="287">
        <f>IF(ISERROR(VLOOKUP(N46,Tabellen!$O$5:$R$58,4,FALSE)),1,VLOOKUP(N46,Tabellen!$O$5:$R$58,4,FALSE))</f>
        <v>1</v>
      </c>
      <c r="AK46" s="287">
        <f>IF(ISERROR(VLOOKUP(N46,Tabellen!$O$5:$S$58,5,FALSE)),1,VLOOKUP(N46,Tabellen!$O$5:$S$58,5,FALSE))</f>
        <v>1</v>
      </c>
    </row>
    <row r="47" spans="1:41" ht="15" thickTop="1" thickBot="1">
      <c r="A47" s="285">
        <v>8</v>
      </c>
      <c r="B47" s="544"/>
      <c r="C47" s="736"/>
      <c r="D47" s="545"/>
      <c r="E47" s="1219" t="str">
        <f t="shared" si="3"/>
        <v/>
      </c>
      <c r="F47" s="1219"/>
      <c r="G47" s="1220"/>
      <c r="H47" s="534">
        <f ca="1">CHOOSE(AK47,0,
VLOOKUP(P47,OFFSET(INDIRECT("Tabellen!"&amp;AG47),0,0,,2),2,FALSE),
VLOOKUP(P47,OFFSET(INDIRECT("Tabellen!"&amp;AG47),0,0,,3),3,FALSE),
VLOOKUP(P47,OFFSET(INDIRECT("Tabellen!"&amp;AG47),0,0,,3),3,FALSE),
RechLuftschichtRuhend(B47,MATCH(Bauteile!O47,Tabellen!$W$5:$W$12,0)),
VLOOKUP(O47,OFFSET(INDIRECT("Tabellen!"&amp;AF47),0,0,,7),7,FALSE))</f>
        <v>0</v>
      </c>
      <c r="I47" s="316">
        <f t="shared" ca="1" si="7"/>
        <v>0</v>
      </c>
      <c r="J47" s="304" t="str">
        <f>IF(AND(C47="keilförmig",(C53+D53&gt;0)),"keilförmig nur homogen",
IF(AND(C46="",C47&lt;&gt;"",B47&lt;&gt;B48),"Dicke " &amp; C47 &amp; " &lt;&gt; Dicke "&amp; C48,
IF(AND(C46&lt;&gt;"",C47&lt;&gt;"",RIGHT(C46,1)&lt;&gt;RIGHT(C47,1),B47&lt;&gt;B48),"Dicke " &amp; C47 &amp; " &lt;&gt; Dicke "&amp; C48,
IF(COUNTIF(b01_x,"=a1")&gt;1,"a1 nur einmal",
IF(COUNTIF(b01_x,"=b1")&gt;1,"b1 nur einmal",
IF(COUNTIF(b01_x,"=a2")&gt;1,"a2 nur einmal",
IF(COUNTIF(b01_x,"=b2")&gt;1,"b2 nur einmal","")))))))</f>
        <v/>
      </c>
      <c r="M47" s="490" t="str">
        <f t="shared" si="8"/>
        <v/>
      </c>
      <c r="N47" s="552"/>
      <c r="O47" s="553"/>
      <c r="P47" s="554"/>
      <c r="S47" s="1168" t="str">
        <f t="shared" si="9"/>
        <v/>
      </c>
      <c r="T47" s="404">
        <f t="shared" ca="1" si="12"/>
        <v>0</v>
      </c>
      <c r="U47" s="404">
        <f t="shared" ca="1" si="10"/>
        <v>0</v>
      </c>
      <c r="V47" s="404">
        <f t="shared" ca="1" si="10"/>
        <v>0</v>
      </c>
      <c r="X47" s="319">
        <f ca="1">IFERROR(IF(T47&gt;0,$H47,0)*T38,0)</f>
        <v>0</v>
      </c>
      <c r="Y47" s="319">
        <f ca="1">IFERROR(IF(LEFT($C47,1)="H",0,IF(U47&gt;0,$H47,IF($H47=0,0,VLOOKUP("H"&amp;Y39,$C40:$H51,6))))*U$104,0)</f>
        <v>0</v>
      </c>
      <c r="Z47" s="319">
        <f ca="1">IFERROR(IF(LEFT($C47,1)="H",0,IF(V47&gt;0,$H47,IF($H47=0,0,VLOOKUP("H"&amp;Z$105,$C40:$H51,6))))*V38,0)</f>
        <v>0</v>
      </c>
      <c r="AA47" s="404">
        <f t="shared" ca="1" si="11"/>
        <v>0</v>
      </c>
      <c r="AB47" s="299"/>
      <c r="AC47" s="19"/>
      <c r="AD47" s="19"/>
      <c r="AE47" s="286" t="str">
        <f>AdresseBezug(Tabellen!$O$5:$O$14)</f>
        <v>O5:O14</v>
      </c>
      <c r="AF47" s="286" t="e">
        <f>VLOOKUP(N47,Tabellen!$O$5:$R$57,3,FALSE)</f>
        <v>#N/A</v>
      </c>
      <c r="AG47" s="286" t="e">
        <f t="shared" ca="1" si="4"/>
        <v>#N/A</v>
      </c>
      <c r="AH47" s="288" t="b">
        <f t="shared" ca="1" si="5"/>
        <v>1</v>
      </c>
      <c r="AI47" s="288" t="b">
        <f t="shared" ca="1" si="6"/>
        <v>1</v>
      </c>
      <c r="AJ47" s="287">
        <f>IF(ISERROR(VLOOKUP(N47,Tabellen!$O$5:$R$58,4,FALSE)),1,VLOOKUP(N47,Tabellen!$O$5:$R$58,4,FALSE))</f>
        <v>1</v>
      </c>
      <c r="AK47" s="287">
        <f>IF(ISERROR(VLOOKUP(N47,Tabellen!$O$5:$S$58,5,FALSE)),1,VLOOKUP(N47,Tabellen!$O$5:$S$58,5,FALSE))</f>
        <v>1</v>
      </c>
    </row>
    <row r="48" spans="1:41" ht="15" thickTop="1" thickBot="1">
      <c r="A48" s="285">
        <v>9</v>
      </c>
      <c r="B48" s="544"/>
      <c r="C48" s="736"/>
      <c r="D48" s="545"/>
      <c r="E48" s="1219" t="str">
        <f t="shared" si="3"/>
        <v/>
      </c>
      <c r="F48" s="1219"/>
      <c r="G48" s="1220"/>
      <c r="H48" s="534">
        <f ca="1">CHOOSE(AK48,0,
VLOOKUP(P48,OFFSET(INDIRECT("Tabellen!"&amp;AG48),0,0,,2),2,FALSE),
VLOOKUP(P48,OFFSET(INDIRECT("Tabellen!"&amp;AG48),0,0,,3),3,FALSE),
VLOOKUP(P48,OFFSET(INDIRECT("Tabellen!"&amp;AG48),0,0,,3),3,FALSE),
RechLuftschichtRuhend(B48,MATCH(Bauteile!O48,Tabellen!$W$5:$W$12,0)),
VLOOKUP(O48,OFFSET(INDIRECT("Tabellen!"&amp;AF48),0,0,,7),7,FALSE))</f>
        <v>0</v>
      </c>
      <c r="I48" s="316">
        <f t="shared" ca="1" si="7"/>
        <v>0</v>
      </c>
      <c r="J48" s="304" t="str">
        <f>IF(AND(C48="keilförmig",(C53+D53&gt;0)),"keilförmig nur homogen",
IF(AND(C47="",C48&lt;&gt;"",B48&lt;&gt;B49),"Dicke " &amp; C48 &amp; " &lt;&gt; Dicke "&amp; C49,
IF(AND(C47&lt;&gt;"",C48&lt;&gt;"",RIGHT(C47,1)&lt;&gt;RIGHT(C48,1),B48&lt;&gt;B49),"Dicke " &amp; C48 &amp; " &lt;&gt; Dicke "&amp; C49,
IF(COUNTIF(b01_x,"=a1")&gt;1,"a1 nur einmal",
IF(COUNTIF(b01_x,"=b1")&gt;1,"b1 nur einmal",
IF(COUNTIF(b01_x,"=a2")&gt;1,"a2 nur einmal",
IF(COUNTIF(b01_x,"=b2")&gt;1,"b2 nur einmal","")))))))</f>
        <v/>
      </c>
      <c r="M48" s="490" t="str">
        <f t="shared" si="8"/>
        <v/>
      </c>
      <c r="N48" s="552"/>
      <c r="O48" s="553"/>
      <c r="P48" s="554"/>
      <c r="S48" s="1168" t="str">
        <f t="shared" si="9"/>
        <v/>
      </c>
      <c r="T48" s="404">
        <f t="shared" ca="1" si="12"/>
        <v>0</v>
      </c>
      <c r="U48" s="404">
        <f t="shared" ca="1" si="10"/>
        <v>0</v>
      </c>
      <c r="V48" s="404">
        <f t="shared" ca="1" si="10"/>
        <v>0</v>
      </c>
      <c r="X48" s="319">
        <f ca="1">IFERROR(IF(T48&gt;0,$H48,0)*T38,0)</f>
        <v>0</v>
      </c>
      <c r="Y48" s="319">
        <f ca="1">IFERROR(IF(LEFT($C48,1)="H",0,IF(U48&gt;0,$H48,IF($H48=0,0,VLOOKUP("H"&amp;Y39,$C40:$H51,6))))*U$104,0)</f>
        <v>0</v>
      </c>
      <c r="Z48" s="319">
        <f ca="1">IFERROR(IF(LEFT($C48,1)="H",0,IF(V48&gt;0,$H48,IF($H48=0,0,VLOOKUP("H"&amp;Z$105,$C40:$H51,6))))*V38,0)</f>
        <v>0</v>
      </c>
      <c r="AA48" s="404">
        <f t="shared" ca="1" si="11"/>
        <v>0</v>
      </c>
      <c r="AB48" s="299"/>
      <c r="AC48" s="19"/>
      <c r="AD48" s="19"/>
      <c r="AE48" s="286" t="str">
        <f>AdresseBezug(Tabellen!$O$5:$O$14)</f>
        <v>O5:O14</v>
      </c>
      <c r="AF48" s="286" t="e">
        <f>VLOOKUP(N48,Tabellen!$O$5:$R$57,3,FALSE)</f>
        <v>#N/A</v>
      </c>
      <c r="AG48" s="286" t="e">
        <f t="shared" ca="1" si="4"/>
        <v>#N/A</v>
      </c>
      <c r="AH48" s="288" t="b">
        <f t="shared" ca="1" si="5"/>
        <v>1</v>
      </c>
      <c r="AI48" s="288" t="b">
        <f t="shared" ca="1" si="6"/>
        <v>1</v>
      </c>
      <c r="AJ48" s="287">
        <f>IF(ISERROR(VLOOKUP(N48,Tabellen!$O$5:$R$58,4,FALSE)),1,VLOOKUP(N48,Tabellen!$O$5:$R$58,4,FALSE))</f>
        <v>1</v>
      </c>
      <c r="AK48" s="287">
        <f>IF(ISERROR(VLOOKUP(N48,Tabellen!$O$5:$S$58,5,FALSE)),1,VLOOKUP(N48,Tabellen!$O$5:$S$58,5,FALSE))</f>
        <v>1</v>
      </c>
    </row>
    <row r="49" spans="1:41" ht="15" thickTop="1" thickBot="1">
      <c r="A49" s="285">
        <v>10</v>
      </c>
      <c r="B49" s="544"/>
      <c r="C49" s="736"/>
      <c r="D49" s="545"/>
      <c r="E49" s="1219" t="str">
        <f t="shared" si="3"/>
        <v/>
      </c>
      <c r="F49" s="1219"/>
      <c r="G49" s="1220"/>
      <c r="H49" s="534">
        <f ca="1">CHOOSE(AK49,0,
VLOOKUP(P49,OFFSET(INDIRECT("Tabellen!"&amp;AG49),0,0,,2),2,FALSE),
VLOOKUP(P49,OFFSET(INDIRECT("Tabellen!"&amp;AG49),0,0,,3),3,FALSE),
VLOOKUP(P49,OFFSET(INDIRECT("Tabellen!"&amp;AG49),0,0,,3),3,FALSE),
RechLuftschichtRuhend(B49,MATCH(Bauteile!O49,Tabellen!$W$5:$W$12,0)),
VLOOKUP(O49,OFFSET(INDIRECT("Tabellen!"&amp;AF49),0,0,,7),7,FALSE))</f>
        <v>0</v>
      </c>
      <c r="I49" s="316">
        <f t="shared" ca="1" si="7"/>
        <v>0</v>
      </c>
      <c r="J49" s="304" t="str">
        <f>IF(AND(C49="keilförmig",(C53+D53&gt;0)),"keilförmig nur homogen",
IF(AND(C48="",C49&lt;&gt;"",B49&lt;&gt;B50),"Dicke " &amp; C49 &amp; " &lt;&gt; Dicke "&amp; C50,
IF(AND(C48&lt;&gt;"",C49&lt;&gt;"",RIGHT(C48,1)&lt;&gt;RIGHT(C49,1),B49&lt;&gt;B50),"Dicke " &amp; C49 &amp; " &lt;&gt; Dicke "&amp; C50,
IF(COUNTIF(b01_x,"=a1")&gt;1,"a1 nur einmal",
IF(COUNTIF(b01_x,"=b1")&gt;1,"b1 nur einmal",
IF(COUNTIF(b01_x,"=a2")&gt;1,"a2 nur einmal",
IF(COUNTIF(b01_x,"=b2")&gt;1,"b2 nur einmal","")))))))</f>
        <v/>
      </c>
      <c r="M49" s="490" t="str">
        <f t="shared" si="8"/>
        <v/>
      </c>
      <c r="N49" s="552"/>
      <c r="O49" s="553"/>
      <c r="P49" s="554"/>
      <c r="S49" s="1168" t="str">
        <f t="shared" si="9"/>
        <v/>
      </c>
      <c r="T49" s="404">
        <f t="shared" ca="1" si="12"/>
        <v>0</v>
      </c>
      <c r="U49" s="404">
        <f t="shared" ca="1" si="10"/>
        <v>0</v>
      </c>
      <c r="V49" s="404">
        <f t="shared" ca="1" si="10"/>
        <v>0</v>
      </c>
      <c r="X49" s="319">
        <f ca="1">IFERROR(IF(T49&gt;0,$H49,0)*T38,0)</f>
        <v>0</v>
      </c>
      <c r="Y49" s="319">
        <f ca="1">IFERROR(IF(LEFT($C49,1)="H",0,IF(U49&gt;0,$H49,IF($H49=0,0,VLOOKUP("H"&amp;Y39,$C40:$H51,6))))*U$104,0)</f>
        <v>0</v>
      </c>
      <c r="Z49" s="319">
        <f ca="1">IFERROR(IF(LEFT($C49,1)="H",0,IF(V49&gt;0,$H49,IF($H49=0,0,VLOOKUP("H"&amp;Z$105,$C40:$H51,6))))*V38,0)</f>
        <v>0</v>
      </c>
      <c r="AA49" s="404">
        <f t="shared" ca="1" si="11"/>
        <v>0</v>
      </c>
      <c r="AB49" s="299"/>
      <c r="AC49" s="19"/>
      <c r="AD49" s="19"/>
      <c r="AE49" s="286" t="str">
        <f>AdresseBezug(Tabellen!$O$5:$O$14)</f>
        <v>O5:O14</v>
      </c>
      <c r="AF49" s="286" t="e">
        <f>VLOOKUP(N49,Tabellen!$O$5:$R$57,3,FALSE)</f>
        <v>#N/A</v>
      </c>
      <c r="AG49" s="286" t="e">
        <f t="shared" ca="1" si="4"/>
        <v>#N/A</v>
      </c>
      <c r="AH49" s="288" t="b">
        <f t="shared" ca="1" si="5"/>
        <v>1</v>
      </c>
      <c r="AI49" s="288" t="b">
        <f t="shared" ca="1" si="6"/>
        <v>1</v>
      </c>
      <c r="AJ49" s="287">
        <f>IF(ISERROR(VLOOKUP(N49,Tabellen!$O$5:$R$58,4,FALSE)),1,VLOOKUP(N49,Tabellen!$O$5:$R$58,4,FALSE))</f>
        <v>1</v>
      </c>
      <c r="AK49" s="287">
        <f>IF(ISERROR(VLOOKUP(N49,Tabellen!$O$5:$S$58,5,FALSE)),1,VLOOKUP(N49,Tabellen!$O$5:$S$58,5,FALSE))</f>
        <v>1</v>
      </c>
    </row>
    <row r="50" spans="1:41" ht="15" thickTop="1" thickBot="1">
      <c r="A50" s="285">
        <v>11</v>
      </c>
      <c r="B50" s="544"/>
      <c r="C50" s="736"/>
      <c r="D50" s="545"/>
      <c r="E50" s="1219" t="str">
        <f t="shared" si="3"/>
        <v/>
      </c>
      <c r="F50" s="1219"/>
      <c r="G50" s="1220"/>
      <c r="H50" s="534">
        <f ca="1">CHOOSE(AK50,0,
VLOOKUP(P50,OFFSET(INDIRECT("Tabellen!"&amp;AG50),0,0,,2),2,FALSE),
VLOOKUP(P50,OFFSET(INDIRECT("Tabellen!"&amp;AG50),0,0,,3),3,FALSE),
VLOOKUP(P50,OFFSET(INDIRECT("Tabellen!"&amp;AG50),0,0,,3),3,FALSE),
RechLuftschichtRuhend(B50,MATCH(Bauteile!O50,Tabellen!$W$5:$W$12,0)),
VLOOKUP(O50,OFFSET(INDIRECT("Tabellen!"&amp;AF50),0,0,,7),7,FALSE))</f>
        <v>0</v>
      </c>
      <c r="I50" s="316">
        <f t="shared" ca="1" si="7"/>
        <v>0</v>
      </c>
      <c r="J50" s="304" t="str">
        <f>IF(AND(C50="keilförmig",(C53+D53&gt;0)),"keilförmig nur homogen",
IF(AND(C49="",C50&lt;&gt;"",B50&lt;&gt;B51),"Dicke " &amp; C50 &amp; " &lt;&gt; Dicke "&amp; C51,
IF(AND(C49&lt;&gt;"",C50&lt;&gt;"",RIGHT(C49,1)&lt;&gt;RIGHT(C50,1),B50&lt;&gt;B51),"Dicke " &amp; C50 &amp; " &lt;&gt; Dicke "&amp; C51,
IF(COUNTIF(b01_x,"=a1")&gt;1,"a1 nur einmal",
IF(COUNTIF(b01_x,"=b1")&gt;1,"b1 nur einmal",
IF(COUNTIF(b01_x,"=a2")&gt;1,"a2 nur einmal",
IF(COUNTIF(b01_x,"=b2")&gt;1,"b2 nur einmal","")))))))</f>
        <v/>
      </c>
      <c r="M50" s="490" t="str">
        <f t="shared" si="8"/>
        <v/>
      </c>
      <c r="N50" s="552"/>
      <c r="O50" s="553"/>
      <c r="P50" s="554"/>
      <c r="S50" s="1168" t="str">
        <f t="shared" si="9"/>
        <v/>
      </c>
      <c r="T50" s="404">
        <f t="shared" ca="1" si="12"/>
        <v>0</v>
      </c>
      <c r="U50" s="404">
        <f t="shared" ca="1" si="10"/>
        <v>0</v>
      </c>
      <c r="V50" s="404">
        <f t="shared" ca="1" si="10"/>
        <v>0</v>
      </c>
      <c r="X50" s="319">
        <f ca="1">IFERROR(IF(T50&gt;0,$H50,0)*T38,0)</f>
        <v>0</v>
      </c>
      <c r="Y50" s="319">
        <f ca="1">IFERROR(IF(LEFT($C50,1)="H",0,IF(U50&gt;0,$H50,IF($H50=0,0,VLOOKUP("H"&amp;Y39,$C40:$H51,6))))*U$104,0)</f>
        <v>0</v>
      </c>
      <c r="Z50" s="319">
        <f ca="1">IFERROR(IF(LEFT($C50,1)="H",0,IF(V50&gt;0,$H50,IF($H50=0,0,VLOOKUP("H"&amp;Z$105,$C40:$H51,6))))*V38,0)</f>
        <v>0</v>
      </c>
      <c r="AA50" s="404">
        <f t="shared" ca="1" si="11"/>
        <v>0</v>
      </c>
      <c r="AB50" s="299"/>
      <c r="AC50" s="19"/>
      <c r="AD50" s="19"/>
      <c r="AE50" s="286" t="str">
        <f>AdresseBezug(Tabellen!$O$5:$O$14)</f>
        <v>O5:O14</v>
      </c>
      <c r="AF50" s="286" t="e">
        <f>VLOOKUP(N50,Tabellen!$O$5:$R$57,3,FALSE)</f>
        <v>#N/A</v>
      </c>
      <c r="AG50" s="286" t="e">
        <f t="shared" ca="1" si="4"/>
        <v>#N/A</v>
      </c>
      <c r="AH50" s="288" t="b">
        <f t="shared" ca="1" si="5"/>
        <v>1</v>
      </c>
      <c r="AI50" s="288" t="b">
        <f t="shared" ca="1" si="6"/>
        <v>1</v>
      </c>
      <c r="AJ50" s="287">
        <f>IF(ISERROR(VLOOKUP(N50,Tabellen!$O$5:$R$58,4,FALSE)),1,VLOOKUP(N50,Tabellen!$O$5:$R$58,4,FALSE))</f>
        <v>1</v>
      </c>
      <c r="AK50" s="287">
        <f>IF(ISERROR(VLOOKUP(N50,Tabellen!$O$5:$S$58,5,FALSE)),1,VLOOKUP(N50,Tabellen!$O$5:$S$58,5,FALSE))</f>
        <v>1</v>
      </c>
    </row>
    <row r="51" spans="1:41" ht="15" thickTop="1" thickBot="1">
      <c r="A51" s="285">
        <v>12</v>
      </c>
      <c r="B51" s="544"/>
      <c r="C51" s="736"/>
      <c r="D51" s="545"/>
      <c r="E51" s="302" t="str">
        <f t="shared" si="3"/>
        <v/>
      </c>
      <c r="F51" s="302"/>
      <c r="G51" s="303"/>
      <c r="H51" s="534">
        <f ca="1">CHOOSE(AK51,0,
VLOOKUP(P51,OFFSET(INDIRECT("Tabellen!"&amp;AG51),0,0,,2),2,FALSE),
VLOOKUP(P51,OFFSET(INDIRECT("Tabellen!"&amp;AG51),0,0,,3),3,FALSE),
VLOOKUP(P51,OFFSET(INDIRECT("Tabellen!"&amp;AG51),0,0,,3),3,FALSE),
RechLuftschichtRuhend(B51,MATCH(Bauteile!O51,Tabellen!$W$5:$W$12,0)),
VLOOKUP(O51,OFFSET(INDIRECT("Tabellen!"&amp;AF51),0,0,,7),7,FALSE))</f>
        <v>0</v>
      </c>
      <c r="I51" s="316">
        <f t="shared" ca="1" si="7"/>
        <v>0</v>
      </c>
      <c r="J51" s="304" t="str">
        <f>IF(AND(C51="keilförmig",(C53+D53&gt;0)),"keilförmig nur homogen",
IF(AND(C50="",C51&lt;&gt;"",B51&lt;&gt;B52),"Dicke " &amp; C51 &amp; " &lt;&gt; Dicke "&amp; C52,
IF(AND(C50&lt;&gt;"",C51&lt;&gt;"",RIGHT(C50,1)&lt;&gt;RIGHT(C51,1),B51&lt;&gt;B52),"Dicke " &amp; C51 &amp; " &lt;&gt; Dicke "&amp; C52,
IF(COUNTIF(b01_x,"=a1")&gt;1,"a1 nur einmal",
IF(COUNTIF(b01_x,"=b1")&gt;1,"b1 nur einmal",
IF(COUNTIF(b01_x,"=a2")&gt;1,"a2 nur einmal",
IF(COUNTIF(b01_x,"=b2")&gt;1,"b2 nur einmal","")))))))</f>
        <v/>
      </c>
      <c r="M51" s="490" t="str">
        <f t="shared" si="8"/>
        <v/>
      </c>
      <c r="N51" s="552"/>
      <c r="O51" s="553"/>
      <c r="P51" s="554"/>
      <c r="S51" s="1168" t="str">
        <f t="shared" si="9"/>
        <v/>
      </c>
      <c r="T51" s="404">
        <f t="shared" ca="1" si="12"/>
        <v>0</v>
      </c>
      <c r="U51" s="404">
        <f t="shared" ca="1" si="10"/>
        <v>0</v>
      </c>
      <c r="V51" s="404">
        <f t="shared" ca="1" si="10"/>
        <v>0</v>
      </c>
      <c r="X51" s="319">
        <f ca="1">IFERROR(IF(T51&gt;0,$H51,0)*T38,0)</f>
        <v>0</v>
      </c>
      <c r="Y51" s="319">
        <f ca="1">IFERROR(IF(LEFT($C51,1)="H",0,IF(U51&gt;0,$H51,IF($H51=0,0,VLOOKUP("H"&amp;Y39,$C40:$H51,6))))*U$104,0)</f>
        <v>0</v>
      </c>
      <c r="Z51" s="319">
        <f ca="1">IFERROR(IF(LEFT($C51,1)="H",0,IF(V51&gt;0,$H51,IF($H51=0,0,VLOOKUP("H"&amp;Z$105,$C40:$H51,6))))*V38,0)</f>
        <v>0</v>
      </c>
      <c r="AA51" s="404">
        <f t="shared" ca="1" si="11"/>
        <v>0</v>
      </c>
      <c r="AB51" s="299"/>
      <c r="AC51" s="19"/>
      <c r="AD51" s="19"/>
      <c r="AE51" s="286" t="str">
        <f>AdresseBezug(Tabellen!$O$5:$O$14)</f>
        <v>O5:O14</v>
      </c>
      <c r="AF51" s="286" t="e">
        <f>VLOOKUP(N51,Tabellen!$O$5:$R$57,3,FALSE)</f>
        <v>#N/A</v>
      </c>
      <c r="AG51" s="286" t="e">
        <f t="shared" ca="1" si="4"/>
        <v>#N/A</v>
      </c>
      <c r="AH51" s="288" t="b">
        <f t="shared" ca="1" si="5"/>
        <v>1</v>
      </c>
      <c r="AI51" s="288" t="b">
        <f t="shared" ca="1" si="6"/>
        <v>1</v>
      </c>
      <c r="AJ51" s="287">
        <f>IF(ISERROR(VLOOKUP(N51,Tabellen!$O$5:$R$58,4,FALSE)),1,VLOOKUP(N51,Tabellen!$O$5:$R$58,4,FALSE))</f>
        <v>1</v>
      </c>
      <c r="AK51" s="287">
        <f>IF(ISERROR(VLOOKUP(N51,Tabellen!$O$5:$S$58,5,FALSE)),1,VLOOKUP(N51,Tabellen!$O$5:$S$58,5,FALSE))</f>
        <v>1</v>
      </c>
    </row>
    <row r="52" spans="1:41" ht="14.4" thickTop="1">
      <c r="A52" s="281" t="s">
        <v>812</v>
      </c>
      <c r="B52" s="284"/>
      <c r="C52" s="409" t="s">
        <v>1944</v>
      </c>
      <c r="D52" s="409" t="s">
        <v>1945</v>
      </c>
      <c r="E52" s="301" t="str">
        <f>E39</f>
        <v>Wärmestrom horizontal</v>
      </c>
      <c r="F52" s="301"/>
      <c r="G52" s="301"/>
      <c r="H52" s="284"/>
      <c r="I52" s="154"/>
      <c r="J52" s="315">
        <f>IF(E52&gt;0,VLOOKUP(E52,Tabellen!$W$5:$Y$12,3,FALSE),0)</f>
        <v>0.04</v>
      </c>
      <c r="M52" s="57"/>
      <c r="Q52" s="57"/>
      <c r="R52" s="57"/>
      <c r="S52" s="295" t="s">
        <v>812</v>
      </c>
      <c r="T52" s="403">
        <f>IF(T38&gt;0,$J52,0)</f>
        <v>0.04</v>
      </c>
      <c r="U52" s="403">
        <f>IF(U38&gt;0,$J52,0)</f>
        <v>0</v>
      </c>
      <c r="V52" s="403">
        <f>IF(V38&gt;0,$J52,0)</f>
        <v>0</v>
      </c>
      <c r="X52" s="320"/>
      <c r="Y52" s="320"/>
      <c r="Z52" s="320"/>
      <c r="AA52" s="403">
        <f>J52</f>
        <v>0.04</v>
      </c>
      <c r="AB52" s="299"/>
      <c r="AC52" s="19"/>
      <c r="AD52" s="19"/>
      <c r="AE52" s="713" t="s">
        <v>2459</v>
      </c>
      <c r="AF52" s="713"/>
      <c r="AG52" s="713"/>
      <c r="AH52" s="713" t="s">
        <v>1942</v>
      </c>
      <c r="AI52" s="713"/>
      <c r="AJ52" s="713"/>
      <c r="AL52" s="713" t="s">
        <v>2460</v>
      </c>
      <c r="AM52" s="714"/>
    </row>
    <row r="53" spans="1:41" ht="15">
      <c r="A53" s="364" t="s">
        <v>342</v>
      </c>
      <c r="B53" s="317">
        <f>SUMIF(C40:C51,"",B40:B51)+SUMIF(C40:C51,"G1",B40:B51)+SUMIF(C40:C51,"G2",B40:B51)</f>
        <v>332</v>
      </c>
      <c r="C53" s="317">
        <f>SUMIF(C40:C51,"G1",D40:D51)+SUMIF(C40:C51,"H1",D40:D51)</f>
        <v>0</v>
      </c>
      <c r="D53" s="317">
        <f>SUMIF(C40:C51,"G2",D40:D51)+SUMIF(C40:C51,"H2",D40:D51)</f>
        <v>0</v>
      </c>
      <c r="E53" s="532" t="s">
        <v>2514</v>
      </c>
      <c r="F53" s="533" t="str">
        <f>IF(AND(C53&gt;0,D53=0),"mit inhomogen Schichten (1 Ebene)",
IF(AND(C53&gt;0,D53&gt;0),"mit inhomogen Schichten (2 Ebenen, um 90° gedreht)",
IF(SUM(M40:M51)&gt;0,"mit keilförmiger Schicht","mit homogenen Schichten")))</f>
        <v>mit homogenen Schichten</v>
      </c>
      <c r="G53" s="283"/>
      <c r="H53" s="152"/>
      <c r="I53" s="152"/>
      <c r="J53" s="274"/>
      <c r="K53" s="46" t="str">
        <f>IF(OR(C53&gt;0,D53&gt;0),AK53,IF(SUM(M40:M51)&gt;0,AO53,""))</f>
        <v/>
      </c>
      <c r="L53" s="46"/>
      <c r="M53" s="46"/>
      <c r="N53" s="46"/>
      <c r="O53" s="46"/>
      <c r="P53" s="46"/>
      <c r="Q53" s="57"/>
      <c r="R53" s="57"/>
      <c r="S53" s="295" t="s">
        <v>3427</v>
      </c>
      <c r="T53" s="404">
        <f ca="1">SUM(T39:T52)</f>
        <v>4.7435026737967911</v>
      </c>
      <c r="U53" s="404">
        <f ca="1">SUM(U39:U52)</f>
        <v>4.5735026737967912</v>
      </c>
      <c r="V53" s="404">
        <f ca="1">SUM(V39:V52)</f>
        <v>4.5735026737967912</v>
      </c>
      <c r="X53" s="320">
        <f ca="1">SUM(X40:X51)</f>
        <v>2.1720000000000002</v>
      </c>
      <c r="Y53" s="320">
        <f ca="1">SUM(Y40:Y51)</f>
        <v>0.20851200000000003</v>
      </c>
      <c r="Z53" s="320">
        <f ca="1">SUM(Z40:Z51)</f>
        <v>0</v>
      </c>
      <c r="AA53" s="405">
        <f ca="1">SUM(AA39:AA52)</f>
        <v>4.3429038994496274</v>
      </c>
      <c r="AB53" s="297" t="s">
        <v>3417</v>
      </c>
      <c r="AC53" s="19"/>
      <c r="AD53" s="19"/>
      <c r="AK53" s="207" t="s">
        <v>3433</v>
      </c>
      <c r="AO53" s="207" t="s">
        <v>955</v>
      </c>
    </row>
    <row r="54" spans="1:41" ht="15">
      <c r="A54" s="275"/>
      <c r="B54" s="276" t="str">
        <f>IF(OR(C53&gt;0,D53&gt;0),AH54,IF(SUM(M40:M51)&gt;0,AL54,AE54))</f>
        <v>Wärmedurchgangswiderstand</v>
      </c>
      <c r="C54" s="276"/>
      <c r="G54" s="37"/>
      <c r="H54" s="521" t="str">
        <f>IF(OR(C53&gt;0,D53&gt;0),AI54,IF(SUM(M40:M51)&gt;0,AM54,AF54))</f>
        <v>R = Rsi + ∑ di / λi + Rse =</v>
      </c>
      <c r="I54" s="513">
        <f ca="1">IF(OR(C53&gt;0,D53&gt;0),AJ54,IF(SUM(M40:M51)&gt;0,AN54,AG54))</f>
        <v>4.7435026737967911</v>
      </c>
      <c r="J54" s="277" t="s">
        <v>809</v>
      </c>
      <c r="K54" s="1226" t="str">
        <f>IF(OR(C53&gt;0,D53&gt;0),AK54,IF(SUM(M40:M51)&gt;0,AO54,""))</f>
        <v/>
      </c>
      <c r="L54" s="1227"/>
      <c r="M54" s="1227"/>
      <c r="N54" s="1227"/>
      <c r="O54" s="1227"/>
      <c r="P54" s="1227"/>
      <c r="Q54" s="57"/>
      <c r="R54" s="57"/>
      <c r="S54" s="1170" t="s">
        <v>3428</v>
      </c>
      <c r="T54" s="404">
        <f ca="1">IFERROR(T38/T53,0)</f>
        <v>0.21081468036774198</v>
      </c>
      <c r="U54" s="404">
        <f t="shared" ref="U54:V54" ca="1" si="13">IFERROR(U38/U53,0)</f>
        <v>0</v>
      </c>
      <c r="V54" s="404">
        <f t="shared" ca="1" si="13"/>
        <v>0</v>
      </c>
      <c r="X54" s="321"/>
      <c r="Y54" s="321"/>
      <c r="Z54" s="321"/>
      <c r="AA54" s="322"/>
      <c r="AB54" s="299"/>
      <c r="AC54" s="19"/>
      <c r="AD54" s="19"/>
      <c r="AE54" s="711" t="s">
        <v>2461</v>
      </c>
      <c r="AF54" s="710" t="s">
        <v>2466</v>
      </c>
      <c r="AG54" s="715">
        <f ca="1">T53</f>
        <v>4.7435026737967911</v>
      </c>
      <c r="AH54" s="711" t="s">
        <v>2468</v>
      </c>
      <c r="AI54" s="710" t="s">
        <v>3429</v>
      </c>
      <c r="AJ54" s="715">
        <f ca="1">IF(SUM(T54:V54)&gt;0,1/SUM(T54:V54),0)</f>
        <v>4.7435026737967911</v>
      </c>
      <c r="AK54" s="207" t="s">
        <v>2464</v>
      </c>
      <c r="AL54" s="711" t="s">
        <v>2470</v>
      </c>
      <c r="AM54" s="710" t="s">
        <v>2485</v>
      </c>
      <c r="AN54" s="715" t="str">
        <f>IF(SUM(M40:M51)&gt;0,SUM(M40:M51),"")</f>
        <v/>
      </c>
      <c r="AO54" s="207" t="s">
        <v>2416</v>
      </c>
    </row>
    <row r="55" spans="1:41" ht="15">
      <c r="A55" s="275"/>
      <c r="B55" s="276" t="str">
        <f>IF(OR(C53&gt;0,D53&gt;0),AH55,IF(SUM(M40:M51)&gt;0,AL55,AE55))</f>
        <v xml:space="preserve"> </v>
      </c>
      <c r="G55" s="276"/>
      <c r="H55" s="521" t="str">
        <f>IF(OR(C53&gt;0,D53&gt;0),AI55,IF(SUM(M40:M51)&gt;0,AM55,AF55))</f>
        <v xml:space="preserve"> </v>
      </c>
      <c r="I55" s="513" t="str">
        <f>IF(OR(C53&gt;0,D53&gt;0),AJ55,IF(SUM(M40:M51)&gt;0,AN55,AG55))</f>
        <v xml:space="preserve"> </v>
      </c>
      <c r="J55" s="277" t="s">
        <v>809</v>
      </c>
      <c r="K55" s="1226"/>
      <c r="L55" s="1227"/>
      <c r="M55" s="1227"/>
      <c r="N55" s="1227"/>
      <c r="O55" s="1227"/>
      <c r="P55" s="1227"/>
      <c r="Q55" s="57"/>
      <c r="R55" s="57"/>
      <c r="S55" s="297" t="s">
        <v>3426</v>
      </c>
      <c r="T55" s="405"/>
      <c r="U55" s="405"/>
      <c r="V55" s="405">
        <f ca="1">IF(SUM(T54:V54)&gt;0,1/SUM(T54:V54),0)</f>
        <v>4.7435026737967911</v>
      </c>
      <c r="AC55" s="19"/>
      <c r="AD55" s="19"/>
      <c r="AE55" s="711" t="s">
        <v>955</v>
      </c>
      <c r="AF55" s="710" t="s">
        <v>955</v>
      </c>
      <c r="AG55" s="715" t="s">
        <v>955</v>
      </c>
      <c r="AH55" s="711" t="s">
        <v>2465</v>
      </c>
      <c r="AI55" s="710" t="s">
        <v>3430</v>
      </c>
      <c r="AJ55" s="715">
        <f ca="1">AA53</f>
        <v>4.3429038994496274</v>
      </c>
      <c r="AK55" s="207" t="s">
        <v>955</v>
      </c>
      <c r="AL55" s="711" t="s">
        <v>2469</v>
      </c>
      <c r="AM55" s="710" t="s">
        <v>2467</v>
      </c>
      <c r="AN55" s="715" t="str">
        <f>IF(SUM(M40:M51)&gt;0,SUM(I39:J52),"")</f>
        <v/>
      </c>
      <c r="AO55" s="207" t="s">
        <v>955</v>
      </c>
    </row>
    <row r="56" spans="1:41" ht="15">
      <c r="A56" s="280"/>
      <c r="B56" s="281" t="str">
        <f>IF(OR(C53&gt;0,D53&gt;0),AH56,IF(SUM(M40:M51)&gt;0,AL56,AE56))</f>
        <v>Wärmedurchgangskoeffizient</v>
      </c>
      <c r="C56" s="154"/>
      <c r="D56" s="154"/>
      <c r="E56" s="154"/>
      <c r="F56" s="154"/>
      <c r="G56" s="154"/>
      <c r="H56" s="522" t="str">
        <f>IF(OR(C53&gt;0,D53&gt;0),AI56,IF(SUM(M40:M51)&gt;0,AM56,AF56))</f>
        <v>U = 1 / R =</v>
      </c>
      <c r="I56" s="514">
        <f ca="1">IF(OR(C53&gt;0,D53&gt;0),AJ56,IF(SUM(M40:M51)&gt;0,AN56,AG56))</f>
        <v>0.21081468036774198</v>
      </c>
      <c r="J56" s="282" t="s">
        <v>815</v>
      </c>
      <c r="K56" s="46" t="str">
        <f>IF(OR(C53&gt;0,D53&gt;0),AK56,IF(SUM(M40:M51)&gt;0,AO56,""))</f>
        <v/>
      </c>
      <c r="L56" s="46"/>
      <c r="M56" s="46"/>
      <c r="N56" s="46"/>
      <c r="O56" s="46"/>
      <c r="P56" s="46"/>
      <c r="Q56" s="57"/>
      <c r="R56" s="57"/>
      <c r="T56" s="292"/>
      <c r="U56" s="57"/>
      <c r="V56" s="57"/>
      <c r="W56" s="57"/>
      <c r="X56" s="292"/>
      <c r="Y56" s="292"/>
      <c r="Z56" s="292"/>
      <c r="AC56" s="19"/>
      <c r="AD56" s="19"/>
      <c r="AE56" s="711" t="s">
        <v>813</v>
      </c>
      <c r="AF56" s="710" t="s">
        <v>2463</v>
      </c>
      <c r="AG56" s="715">
        <f ca="1">IF(AG54&gt;0,1/AG54,"")</f>
        <v>0.21081468036774198</v>
      </c>
      <c r="AH56" s="711" t="s">
        <v>813</v>
      </c>
      <c r="AI56" s="710" t="s">
        <v>3431</v>
      </c>
      <c r="AJ56" s="715">
        <f ca="1">IF((AJ54+AJ55)&gt;0,2/(AJ54+AJ55),0)</f>
        <v>0.220109014920013</v>
      </c>
      <c r="AK56" s="207" t="str">
        <f>"Hier: Rtot;upper / Rtot;lower = "&amp; IF(AND(I55&gt;0,(C53+D53)&gt;0),TEXT(I54/I55,"0,00")&amp;IF(I54/I55&lt;=1.5," &lt;= 1,5, d.h. zulässig"," &gt; 1,5, d.h. nicht zulässig"),"nicht relevant")</f>
        <v>Hier: Rtot;upper / Rtot;lower = nicht relevant</v>
      </c>
      <c r="AL56" s="711" t="s">
        <v>2462</v>
      </c>
      <c r="AM56" s="710" t="s">
        <v>2486</v>
      </c>
      <c r="AN56" s="715" t="str">
        <f>IF(SUM(M40:M51)&gt;0,IF(AN54*AN55&gt;0,1/AN54*LN(1+AN54/AN55),""),"")</f>
        <v/>
      </c>
      <c r="AO56" s="207" t="s">
        <v>2417</v>
      </c>
    </row>
    <row r="57" spans="1:41" s="18" customFormat="1" ht="13.8">
      <c r="A57" s="33"/>
      <c r="B57" s="33"/>
      <c r="C57" s="33"/>
      <c r="D57" s="33"/>
      <c r="E57" s="33"/>
      <c r="F57" s="33"/>
      <c r="G57" s="33"/>
      <c r="H57" s="33"/>
      <c r="I57" s="33"/>
      <c r="J57" s="33"/>
      <c r="K57" s="33"/>
      <c r="L57" s="33"/>
      <c r="M57" s="33"/>
      <c r="Q57" s="33"/>
      <c r="R57" s="33"/>
      <c r="AC57" s="19"/>
      <c r="AD57" s="19"/>
      <c r="AE57" s="712"/>
      <c r="AF57" s="712"/>
      <c r="AG57" s="712"/>
      <c r="AH57" s="712"/>
      <c r="AI57" s="712"/>
      <c r="AJ57" s="712"/>
      <c r="AK57" s="712"/>
      <c r="AL57" s="711"/>
      <c r="AM57" s="712"/>
      <c r="AN57" s="712"/>
      <c r="AO57" s="712"/>
    </row>
    <row r="58" spans="1:41" ht="13.8">
      <c r="A58" s="419" t="s">
        <v>819</v>
      </c>
      <c r="B58" s="1214" t="s">
        <v>2520</v>
      </c>
      <c r="C58" s="1215"/>
      <c r="D58" s="1215"/>
      <c r="E58" s="1215"/>
      <c r="F58" s="1216"/>
      <c r="G58" s="1216"/>
      <c r="H58" s="1216"/>
      <c r="I58" s="523">
        <f ca="1">I78</f>
        <v>0.26088965564926453</v>
      </c>
      <c r="J58" s="737">
        <v>0.5</v>
      </c>
      <c r="K58" s="33"/>
      <c r="L58" s="87">
        <f>ROW(A59)</f>
        <v>59</v>
      </c>
      <c r="M58" s="87">
        <f>ROW(A78)</f>
        <v>78</v>
      </c>
      <c r="N58" s="515">
        <f>(ROW(A58)-ROW($A$36))/(ROW($A$58)-ROW($A$36))+1</f>
        <v>2</v>
      </c>
      <c r="O58" s="216"/>
      <c r="P58" s="216"/>
      <c r="Q58" s="87"/>
      <c r="R58" s="87"/>
      <c r="S58" s="297" t="s">
        <v>3414</v>
      </c>
      <c r="T58" s="294"/>
      <c r="U58" s="293"/>
      <c r="V58" s="293"/>
      <c r="X58" s="297" t="s">
        <v>3415</v>
      </c>
      <c r="Y58" s="297"/>
      <c r="Z58" s="297"/>
      <c r="AA58" s="294"/>
      <c r="AB58" s="298"/>
      <c r="AC58" s="19"/>
      <c r="AD58" s="19"/>
      <c r="AE58" s="711"/>
      <c r="AF58" s="711"/>
      <c r="AG58" s="711"/>
      <c r="AH58" s="711"/>
      <c r="AI58" s="711"/>
      <c r="AJ58" s="711"/>
      <c r="AK58" s="711"/>
      <c r="AL58" s="711"/>
      <c r="AM58" s="711"/>
      <c r="AN58" s="711"/>
      <c r="AO58" s="711"/>
    </row>
    <row r="59" spans="1:41" ht="22.8">
      <c r="A59" s="310" t="s">
        <v>1125</v>
      </c>
      <c r="B59" s="365" t="s">
        <v>1115</v>
      </c>
      <c r="C59" s="1221" t="s">
        <v>3425</v>
      </c>
      <c r="D59" s="1222"/>
      <c r="E59" s="306" t="s">
        <v>1116</v>
      </c>
      <c r="F59" s="305"/>
      <c r="G59" s="305"/>
      <c r="H59" s="306" t="s">
        <v>1120</v>
      </c>
      <c r="I59" s="306" t="s">
        <v>1679</v>
      </c>
      <c r="J59" s="591" t="s">
        <v>1113</v>
      </c>
      <c r="K59" s="33"/>
      <c r="M59" s="57"/>
      <c r="N59" s="387"/>
      <c r="Q59" s="57"/>
      <c r="R59" s="57"/>
      <c r="S59" s="295" t="s">
        <v>3416</v>
      </c>
      <c r="T59" s="1167">
        <v>0</v>
      </c>
      <c r="U59" s="296">
        <v>1</v>
      </c>
      <c r="V59" s="296">
        <v>2</v>
      </c>
      <c r="X59" s="1169" t="s">
        <v>3413</v>
      </c>
      <c r="Y59" s="296"/>
      <c r="Z59" s="296"/>
      <c r="AA59" s="296" t="s">
        <v>3418</v>
      </c>
      <c r="AB59" s="298"/>
      <c r="AC59" s="19"/>
      <c r="AD59" s="19"/>
      <c r="AE59" s="272" t="s">
        <v>824</v>
      </c>
      <c r="AF59" s="197"/>
      <c r="AG59" s="197"/>
      <c r="AH59" s="195" t="s">
        <v>842</v>
      </c>
      <c r="AI59" s="199"/>
      <c r="AJ59" s="289" t="s">
        <v>1671</v>
      </c>
      <c r="AK59" s="289"/>
    </row>
    <row r="60" spans="1:41" ht="13.8">
      <c r="A60" s="312"/>
      <c r="B60" s="306" t="s">
        <v>807</v>
      </c>
      <c r="C60" s="306" t="s">
        <v>3424</v>
      </c>
      <c r="D60" s="306" t="s">
        <v>807</v>
      </c>
      <c r="E60" s="311" t="s">
        <v>806</v>
      </c>
      <c r="F60" s="770"/>
      <c r="G60" s="771"/>
      <c r="H60" s="306" t="s">
        <v>808</v>
      </c>
      <c r="I60" s="306" t="s">
        <v>1122</v>
      </c>
      <c r="J60" s="591" t="s">
        <v>809</v>
      </c>
      <c r="N60" s="387"/>
      <c r="S60" s="295" t="s">
        <v>1114</v>
      </c>
      <c r="T60" s="405">
        <f>1-U60-V60</f>
        <v>1</v>
      </c>
      <c r="U60" s="405">
        <f>IF(C75=0,0,SUMIF($C62:$C73,"H"&amp;U59,$D62:$D73)/C75)</f>
        <v>0</v>
      </c>
      <c r="V60" s="405">
        <f>IF(D75=0,0,SUMIF($C62:$C73,"H"&amp;V59,$D62:$D73)/D75)</f>
        <v>0</v>
      </c>
      <c r="X60" s="407" t="s">
        <v>3423</v>
      </c>
      <c r="Y60" s="407" t="s">
        <v>1910</v>
      </c>
      <c r="Z60" s="407"/>
      <c r="AA60" s="406" t="s">
        <v>3432</v>
      </c>
      <c r="AB60" s="299"/>
      <c r="AC60" s="19"/>
      <c r="AD60" s="19"/>
      <c r="AE60" s="197"/>
      <c r="AF60" s="197"/>
      <c r="AG60" s="197"/>
      <c r="AH60" s="199"/>
      <c r="AI60" s="199"/>
      <c r="AJ60" s="289" t="s">
        <v>1672</v>
      </c>
      <c r="AK60" s="289"/>
    </row>
    <row r="61" spans="1:41" ht="13.8">
      <c r="A61" s="279" t="s">
        <v>810</v>
      </c>
      <c r="B61" s="276"/>
      <c r="C61" s="276"/>
      <c r="D61" s="276"/>
      <c r="E61" s="1217" t="s">
        <v>1881</v>
      </c>
      <c r="F61" s="1218"/>
      <c r="G61" s="1218"/>
      <c r="H61" s="276"/>
      <c r="I61" s="278"/>
      <c r="J61" s="315">
        <f>IF(E61&gt;0,VLOOKUP(E61,Tabellen!$W$5:$Y$12,2,FALSE),0)</f>
        <v>0.13</v>
      </c>
      <c r="N61" s="418" t="s">
        <v>821</v>
      </c>
      <c r="O61" s="418" t="s">
        <v>818</v>
      </c>
      <c r="P61" s="418" t="s">
        <v>820</v>
      </c>
      <c r="S61" s="295" t="s">
        <v>810</v>
      </c>
      <c r="T61" s="403">
        <f>IF(T60&gt;0,$J61,0)</f>
        <v>0.13</v>
      </c>
      <c r="U61" s="403">
        <f>IF(U60&gt;0,$J61,0)</f>
        <v>0</v>
      </c>
      <c r="V61" s="403">
        <f>IF(V60&gt;0,$J61,0)</f>
        <v>0</v>
      </c>
      <c r="X61" s="1169">
        <v>0</v>
      </c>
      <c r="Y61" s="1169">
        <v>1</v>
      </c>
      <c r="Z61" s="1169">
        <v>2</v>
      </c>
      <c r="AA61" s="403">
        <f>J61</f>
        <v>0.13</v>
      </c>
      <c r="AB61" s="299"/>
      <c r="AC61" s="19"/>
      <c r="AD61" s="19"/>
      <c r="AE61" s="197" t="s">
        <v>821</v>
      </c>
      <c r="AF61" s="197" t="s">
        <v>818</v>
      </c>
      <c r="AG61" s="197" t="s">
        <v>820</v>
      </c>
      <c r="AH61" s="199" t="s">
        <v>1678</v>
      </c>
      <c r="AI61" s="199" t="s">
        <v>818</v>
      </c>
    </row>
    <row r="62" spans="1:41" ht="23.4" thickBot="1">
      <c r="A62" s="285">
        <v>1</v>
      </c>
      <c r="B62" s="540">
        <v>10</v>
      </c>
      <c r="C62" s="736"/>
      <c r="D62" s="541"/>
      <c r="E62" s="1219" t="str">
        <f t="shared" ref="E62:E73" si="14">IF(AJ62&gt;1,N62&amp;": "&amp;INDEX(N62:P62,AJ62),"")</f>
        <v>1 Putze, Mörtel, Estriche DIN4108-4 Tab1: 1.1.2  Gipsputzmörtel - rho 1 000 [0,34]</v>
      </c>
      <c r="F62" s="1219"/>
      <c r="G62" s="1220"/>
      <c r="H62" s="534">
        <f ca="1">CHOOSE(AK62,0,
VLOOKUP(P62,OFFSET(INDIRECT("Tabellen!"&amp;AG62),0,0,,2),2,FALSE),
VLOOKUP(P62,OFFSET(INDIRECT("Tabellen!"&amp;AG62),0,0,,3),3,FALSE),
VLOOKUP(P62,OFFSET(INDIRECT("Tabellen!"&amp;AG62),0,0,,3),3,FALSE),
RechLuftschichtRuhend(B62,MATCH(Bauteile!O62,Tabellen!$W$5:$W$12,0)),
VLOOKUP(O62,OFFSET(INDIRECT("Tabellen!"&amp;AF62),0,0,,7),7,FALSE))</f>
        <v>0.34</v>
      </c>
      <c r="I62" s="316">
        <f ca="1">IF(C62="keilförmig","siehe unten",IF(H62&gt;0,B62/1000/H62,0))</f>
        <v>2.9411764705882353E-2</v>
      </c>
      <c r="J62" s="304" t="str">
        <f>IF(AND(C62="keilförmig",(C75+D75&gt;0)),"keilförmig nur homogen",
IF(AND(C61="",C62&lt;&gt;"",B62&lt;&gt;B63),"Dicke " &amp; C62 &amp; " &lt;&gt; Dicke "&amp; C63,
IF(AND(C61&lt;&gt;"",C62&lt;&gt;"",RIGHT(C61,1)&lt;&gt;RIGHT(C62,1),B62&lt;&gt;B63),"Dicke " &amp; C62 &amp; " &lt;&gt; Dicke "&amp; C63,
IF(COUNTIF(b01_x,"=a1")&gt;1,"a1 nur einmal",
IF(COUNTIF(b01_x,"=b1")&gt;1,"b1 nur einmal",
IF(COUNTIF(b01_x,"=a2")&gt;1,"a2 nur einmal",
IF(COUNTIF(b01_x,"=b2")&gt;1,"b2 nur einmal","")))))))</f>
        <v/>
      </c>
      <c r="M62" s="490" t="str">
        <f>IF(C62="keilförmig",IF(H62&gt;0,B62/1000/H62,0),"")</f>
        <v/>
      </c>
      <c r="N62" s="546" t="s">
        <v>2421</v>
      </c>
      <c r="O62" s="547" t="s">
        <v>1194</v>
      </c>
      <c r="P62" s="548" t="s">
        <v>3472</v>
      </c>
      <c r="S62" s="1168" t="str">
        <f>IF(AND(C62&lt;&gt;"keilförmig",C62&lt;&gt;""),VALUE(RIGHT(C62,1)),"")</f>
        <v/>
      </c>
      <c r="T62" s="404">
        <f ca="1">IFERROR(IF($H62=0,0,IF(OR($C62=0,LEFT($C62,1)="G"),$B62/1000/$H62,0)),0)</f>
        <v>2.9411764705882353E-2</v>
      </c>
      <c r="U62" s="404">
        <f ca="1">IFERROR(IF($H62=0,0,IF($C62="H"&amp;U$103,$B62/1000/$H62,IF($C62="G"&amp;U$103,0,$T62))),0)</f>
        <v>2.9411764705882353E-2</v>
      </c>
      <c r="V62" s="404">
        <f ca="1">IFERROR(IF($H62=0,0,IF($C62="H"&amp;V$103,$B62/1000/$H62,IF($C62="G"&amp;V$103,0,$T62))),0)</f>
        <v>2.9411764705882353E-2</v>
      </c>
      <c r="X62" s="319">
        <f ca="1">IFERROR(IF(T62&gt;0,$H62,0)*T60,0)</f>
        <v>0.34</v>
      </c>
      <c r="Y62" s="319">
        <f ca="1">IFERROR(IF(LEFT($C62,1)="H",0,IF(U62&gt;0,$H62,IF($H62=0,0,VLOOKUP("H"&amp;Y61,$C62:$H73,6))))*U$104,0)</f>
        <v>3.2640000000000002E-2</v>
      </c>
      <c r="Z62" s="319">
        <f ca="1">IFERROR(IF(LEFT($C62,1)="H",0,IF(V62&gt;0,$H62,IF($H62=0,0,VLOOKUP("H"&amp;Z$105,$C62:$H73,6))))*V60,0)</f>
        <v>0</v>
      </c>
      <c r="AA62" s="404">
        <f ca="1">IFERROR($B62/1000/SUM(X62:Z62),0)</f>
        <v>2.6835551738943753E-2</v>
      </c>
      <c r="AB62" s="299"/>
      <c r="AC62" s="19"/>
      <c r="AD62" s="19"/>
      <c r="AE62" s="286" t="str">
        <f>AdresseBezug(Tabellen!$O$5:$O$14)</f>
        <v>O5:O14</v>
      </c>
      <c r="AF62" s="286" t="str">
        <f>VLOOKUP(N62,Tabellen!$O$5:$R$57,3,FALSE)</f>
        <v>X60:X62</v>
      </c>
      <c r="AG62" s="286" t="str">
        <f t="shared" ref="AG62:AG73" ca="1" si="15">VLOOKUP(O62,OFFSET(INDIRECT("Tabellen!"&amp;AF62),0,0,,2),2,FALSE)</f>
        <v>q60:q71</v>
      </c>
      <c r="AH62" s="288" t="b">
        <f t="shared" ref="AH62:AH73" ca="1" si="16">ISERROR(VLOOKUP(O62,INDIRECT("Tabellen!"&amp;AF62),1,FALSE))</f>
        <v>0</v>
      </c>
      <c r="AI62" s="288" t="b">
        <f t="shared" ref="AI62:AI73" ca="1" si="17">ISERROR(VLOOKUP(P62,INDIRECT("Tabellen!"&amp;AG62),1,FALSE))</f>
        <v>0</v>
      </c>
      <c r="AJ62" s="287">
        <f>IF(ISERROR(VLOOKUP(N62,Tabellen!$O$5:$R$58,4,FALSE)),1,VLOOKUP(N62,Tabellen!$O$5:$R$58,4,FALSE))</f>
        <v>3</v>
      </c>
      <c r="AK62" s="287">
        <f>IF(ISERROR(VLOOKUP(N62,Tabellen!$O$5:$S$58,5,FALSE)),1,VLOOKUP(N62,Tabellen!$O$5:$S$58,5,FALSE))</f>
        <v>2</v>
      </c>
    </row>
    <row r="63" spans="1:41" ht="24" thickTop="1" thickBot="1">
      <c r="A63" s="285">
        <v>2</v>
      </c>
      <c r="B63" s="542">
        <v>300</v>
      </c>
      <c r="C63" s="736"/>
      <c r="D63" s="543"/>
      <c r="E63" s="1219" t="str">
        <f t="shared" si="14"/>
        <v>4 Mauerwerk DIN4108-4 Tab1: 4.2  Mauerwerk Kalksandsteine - rho 2200  [1,3]</v>
      </c>
      <c r="F63" s="1219"/>
      <c r="G63" s="1220"/>
      <c r="H63" s="534">
        <f ca="1">CHOOSE(AK63,0,
VLOOKUP(P63,OFFSET(INDIRECT("Tabellen!"&amp;AG63),0,0,,2),2,FALSE),
VLOOKUP(P63,OFFSET(INDIRECT("Tabellen!"&amp;AG63),0,0,,3),3,FALSE),
VLOOKUP(P63,OFFSET(INDIRECT("Tabellen!"&amp;AG63),0,0,,3),3,FALSE),
RechLuftschichtRuhend(B63,MATCH(Bauteile!O63,Tabellen!$W$5:$W$12,0)),
VLOOKUP(O63,OFFSET(INDIRECT("Tabellen!"&amp;AF63),0,0,,7),7,FALSE))</f>
        <v>1.3</v>
      </c>
      <c r="I63" s="316">
        <f t="shared" ref="I63:I73" ca="1" si="18">IF(C63="keilförmig","siehe unten",IF(H63&gt;0,B63/1000/H63,0))</f>
        <v>0.23076923076923075</v>
      </c>
      <c r="J63" s="304" t="str">
        <f>IF(AND(C63="keilförmig",(C75+D75&gt;0)),"keilförmig nur homogen",
IF(AND(C62="",C63&lt;&gt;"",B63&lt;&gt;B64),"Dicke " &amp; C63 &amp; " &lt;&gt; Dicke "&amp; C64,
IF(AND(C62&lt;&gt;"",C63&lt;&gt;"",RIGHT(C62,1)&lt;&gt;RIGHT(C63,1),B63&lt;&gt;B64),"Dicke " &amp; C63 &amp; " &lt;&gt; Dicke "&amp; C64,
IF(COUNTIF(b01_x,"=a1")&gt;1,"a1 nur einmal",
IF(COUNTIF(b01_x,"=b1")&gt;1,"b1 nur einmal",
IF(COUNTIF(b01_x,"=a2")&gt;1,"a2 nur einmal",
IF(COUNTIF(b01_x,"=b2")&gt;1,"b2 nur einmal","")))))))</f>
        <v/>
      </c>
      <c r="M63" s="490" t="str">
        <f t="shared" ref="M63:M73" si="19">IF(C63="keilförmig",IF(H63&gt;0,B63/1000/H63,0),"")</f>
        <v/>
      </c>
      <c r="N63" s="549" t="s">
        <v>2422</v>
      </c>
      <c r="O63" s="550" t="s">
        <v>1411</v>
      </c>
      <c r="P63" s="551" t="s">
        <v>2521</v>
      </c>
      <c r="S63" s="1168" t="str">
        <f t="shared" ref="S63:S73" si="20">IF(AND(C63&lt;&gt;"keilförmig",C63&lt;&gt;""),VALUE(RIGHT(C63,1)),"")</f>
        <v/>
      </c>
      <c r="T63" s="404">
        <f ca="1">IFERROR(IF($H63=0,0,IF(OR($C63=0,LEFT($C63,1)="G"),$B63/1000/$H63,0)),0)</f>
        <v>0.23076923076923075</v>
      </c>
      <c r="U63" s="404">
        <f t="shared" ref="U63:V73" ca="1" si="21">IFERROR(IF($H63=0,0,IF($C63="H"&amp;U$103,$B63/1000/$H63,IF($C63="G"&amp;U$103,0,$T63))),0)</f>
        <v>0.23076923076923075</v>
      </c>
      <c r="V63" s="404">
        <f t="shared" ca="1" si="21"/>
        <v>0.23076923076923075</v>
      </c>
      <c r="X63" s="319">
        <f ca="1">IFERROR(IF(T63&gt;0,$H63,0)*T60,0)</f>
        <v>1.3</v>
      </c>
      <c r="Y63" s="319">
        <f ca="1">IFERROR(IF(LEFT($C63,1)="H",0,IF(U63&gt;0,$H63,IF($H63=0,0,VLOOKUP("H"&amp;Y61,$C62:$H73,6))))*U$104,0)</f>
        <v>0.12480000000000001</v>
      </c>
      <c r="Z63" s="319">
        <f ca="1">IFERROR(IF(LEFT($C63,1)="H",0,IF(V63&gt;0,$H63,IF($H63=0,0,VLOOKUP("H"&amp;Z$105,$C62:$H73,6))))*V60,0)</f>
        <v>0</v>
      </c>
      <c r="AA63" s="404">
        <f t="shared" ref="AA63:AA73" ca="1" si="22">IFERROR($B63/1000/SUM(X63:Z63),0)</f>
        <v>0.21055586749017405</v>
      </c>
      <c r="AB63" s="299"/>
      <c r="AC63" s="19"/>
      <c r="AD63" s="19"/>
      <c r="AE63" s="286" t="str">
        <f>AdresseBezug(Tabellen!$O$5:$O$14)</f>
        <v>O5:O14</v>
      </c>
      <c r="AF63" s="286" t="str">
        <f>VLOOKUP(N63,Tabellen!$O$5:$R$57,3,FALSE)</f>
        <v>X71:X82</v>
      </c>
      <c r="AG63" s="286" t="str">
        <f t="shared" ca="1" si="15"/>
        <v>q237:q245</v>
      </c>
      <c r="AH63" s="288" t="b">
        <f t="shared" ca="1" si="16"/>
        <v>0</v>
      </c>
      <c r="AI63" s="288" t="b">
        <f t="shared" ca="1" si="17"/>
        <v>0</v>
      </c>
      <c r="AJ63" s="287">
        <f>IF(ISERROR(VLOOKUP(N63,Tabellen!$O$5:$R$58,4,FALSE)),1,VLOOKUP(N63,Tabellen!$O$5:$R$58,4,FALSE))</f>
        <v>3</v>
      </c>
      <c r="AK63" s="287">
        <f>IF(ISERROR(VLOOKUP(N63,Tabellen!$O$5:$S$58,5,FALSE)),1,VLOOKUP(N63,Tabellen!$O$5:$S$58,5,FALSE))</f>
        <v>2</v>
      </c>
    </row>
    <row r="64" spans="1:41" ht="24" thickTop="1" thickBot="1">
      <c r="A64" s="285">
        <v>3</v>
      </c>
      <c r="B64" s="542">
        <v>120</v>
      </c>
      <c r="C64" s="736"/>
      <c r="D64" s="543"/>
      <c r="E64" s="1219" t="str">
        <f t="shared" si="14"/>
        <v>5 Wärmedämmstoffe DIN4108-4 Tab2: 5.2 Expand. Polystyrols. (EPS) [0,035] (Expandierter Polystyrolschaum)</v>
      </c>
      <c r="F64" s="1219"/>
      <c r="G64" s="1220"/>
      <c r="H64" s="534">
        <f ca="1">CHOOSE(AK64,0,
VLOOKUP(P64,OFFSET(INDIRECT("Tabellen!"&amp;AG64),0,0,,2),2,FALSE),
VLOOKUP(P64,OFFSET(INDIRECT("Tabellen!"&amp;AG64),0,0,,3),3,FALSE),
VLOOKUP(P64,OFFSET(INDIRECT("Tabellen!"&amp;AG64),0,0,,3),3,FALSE),
RechLuftschichtRuhend(B64,MATCH(Bauteile!O64,Tabellen!$W$5:$W$12,0)),
VLOOKUP(O64,OFFSET(INDIRECT("Tabellen!"&amp;AF64),0,0,,7),7,FALSE))</f>
        <v>3.5000000000000003E-2</v>
      </c>
      <c r="I64" s="316">
        <f t="shared" ca="1" si="18"/>
        <v>3.4285714285714279</v>
      </c>
      <c r="J64" s="304" t="str">
        <f>IF(AND(C64="keilförmig",(C75+D75&gt;0)),"keilförmig nur homogen",
IF(AND(C63="",C64&lt;&gt;"",B64&lt;&gt;B65),"Dicke " &amp; C64 &amp; " &lt;&gt; Dicke "&amp; C65,
IF(AND(C63&lt;&gt;"",C64&lt;&gt;"",RIGHT(C63,1)&lt;&gt;RIGHT(C64,1),B64&lt;&gt;B65),"Dicke " &amp; C64 &amp; " &lt;&gt; Dicke "&amp; C65,
IF(COUNTIF(b01_x,"=a1")&gt;1,"a1 nur einmal",
IF(COUNTIF(b01_x,"=b1")&gt;1,"b1 nur einmal",
IF(COUNTIF(b01_x,"=a2")&gt;1,"a2 nur einmal",
IF(COUNTIF(b01_x,"=b2")&gt;1,"b2 nur einmal","")))))))</f>
        <v/>
      </c>
      <c r="M64" s="490" t="str">
        <f t="shared" si="19"/>
        <v/>
      </c>
      <c r="N64" s="546" t="s">
        <v>2419</v>
      </c>
      <c r="O64" s="547" t="s">
        <v>1465</v>
      </c>
      <c r="P64" s="548" t="s">
        <v>2522</v>
      </c>
      <c r="S64" s="1168" t="str">
        <f t="shared" si="20"/>
        <v/>
      </c>
      <c r="T64" s="404">
        <f t="shared" ref="T64:T73" ca="1" si="23">IFERROR(IF($H64=0,0,IF(OR($C64=0,LEFT($C64,1)="G"),$B64/1000/$H64,0)),0)</f>
        <v>3.4285714285714279</v>
      </c>
      <c r="U64" s="404">
        <f t="shared" ca="1" si="21"/>
        <v>3.4285714285714279</v>
      </c>
      <c r="V64" s="404">
        <f t="shared" ca="1" si="21"/>
        <v>3.4285714285714279</v>
      </c>
      <c r="X64" s="319">
        <f ca="1">IFERROR(IF(T64&gt;0,$H64,0)*T60,0)</f>
        <v>3.5000000000000003E-2</v>
      </c>
      <c r="Y64" s="319">
        <f ca="1">IFERROR(IF(LEFT($C64,1)="H",0,IF(U64&gt;0,$H64,IF($H64=0,0,VLOOKUP("H"&amp;Y61,$C62:$H73,6))))*U$104,0)</f>
        <v>3.3600000000000006E-3</v>
      </c>
      <c r="Z64" s="319">
        <f ca="1">IFERROR(IF(LEFT($C64,1)="H",0,IF(V64&gt;0,$H64,IF($H64=0,0,VLOOKUP("H"&amp;Z$105,$C62:$H73,6))))*V60,0)</f>
        <v>0</v>
      </c>
      <c r="AA64" s="404">
        <f t="shared" ca="1" si="22"/>
        <v>3.1282586027111567</v>
      </c>
      <c r="AB64" s="300"/>
      <c r="AC64" s="19"/>
      <c r="AD64" s="19"/>
      <c r="AE64" s="286" t="str">
        <f>AdresseBezug(Tabellen!$O$5:$O$14)</f>
        <v>O5:O14</v>
      </c>
      <c r="AF64" s="286" t="str">
        <f>VLOOKUP(N64,Tabellen!$O$5:$R$57,3,FALSE)</f>
        <v>X468:X481</v>
      </c>
      <c r="AG64" s="286" t="str">
        <f t="shared" ca="1" si="15"/>
        <v>p489:p509</v>
      </c>
      <c r="AH64" s="288" t="b">
        <f t="shared" ca="1" si="16"/>
        <v>0</v>
      </c>
      <c r="AI64" s="288" t="b">
        <f t="shared" ca="1" si="17"/>
        <v>0</v>
      </c>
      <c r="AJ64" s="287">
        <f>IF(ISERROR(VLOOKUP(N64,Tabellen!$O$5:$R$58,4,FALSE)),1,VLOOKUP(N64,Tabellen!$O$5:$R$58,4,FALSE))</f>
        <v>3</v>
      </c>
      <c r="AK64" s="287">
        <f>IF(ISERROR(VLOOKUP(N64,Tabellen!$O$5:$S$58,5,FALSE)),1,VLOOKUP(N64,Tabellen!$O$5:$S$58,5,FALSE))</f>
        <v>3</v>
      </c>
    </row>
    <row r="65" spans="1:41" ht="24" thickTop="1" thickBot="1">
      <c r="A65" s="285">
        <v>4</v>
      </c>
      <c r="B65" s="542">
        <v>10</v>
      </c>
      <c r="C65" s="736"/>
      <c r="D65" s="543"/>
      <c r="E65" s="1219" t="str">
        <f t="shared" si="14"/>
        <v>1 Putze, Mörtel, Estriche DIN4108-4 Tab1: 1.1.7  Kunstharzputz [0,7]</v>
      </c>
      <c r="F65" s="1219"/>
      <c r="G65" s="1220"/>
      <c r="H65" s="534">
        <f ca="1">CHOOSE(AK65,0,
VLOOKUP(P65,OFFSET(INDIRECT("Tabellen!"&amp;AG65),0,0,,2),2,FALSE),
VLOOKUP(P65,OFFSET(INDIRECT("Tabellen!"&amp;AG65),0,0,,3),3,FALSE),
VLOOKUP(P65,OFFSET(INDIRECT("Tabellen!"&amp;AG65),0,0,,3),3,FALSE),
RechLuftschichtRuhend(B65,MATCH(Bauteile!O65,Tabellen!$W$5:$W$12,0)),
VLOOKUP(O65,OFFSET(INDIRECT("Tabellen!"&amp;AF65),0,0,,7),7,FALSE))</f>
        <v>0.7</v>
      </c>
      <c r="I65" s="316">
        <f t="shared" ca="1" si="18"/>
        <v>1.4285714285714287E-2</v>
      </c>
      <c r="J65" s="304" t="str">
        <f>IF(AND(C65="keilförmig",(C75+D75&gt;0)),"keilförmig nur homogen",
IF(AND(C64="",C65&lt;&gt;"",B65&lt;&gt;B66),"Dicke " &amp; C65 &amp; " &lt;&gt; Dicke "&amp; C66,
IF(AND(C64&lt;&gt;"",C65&lt;&gt;"",RIGHT(C64,1)&lt;&gt;RIGHT(C65,1),B65&lt;&gt;B66),"Dicke " &amp; C65 &amp; " &lt;&gt; Dicke "&amp; C66,
IF(COUNTIF(b01_x,"=a1")&gt;1,"a1 nur einmal",
IF(COUNTIF(b01_x,"=b1")&gt;1,"b1 nur einmal",
IF(COUNTIF(b01_x,"=a2")&gt;1,"a2 nur einmal",
IF(COUNTIF(b01_x,"=b2")&gt;1,"b2 nur einmal","")))))))</f>
        <v/>
      </c>
      <c r="M65" s="490" t="str">
        <f t="shared" si="19"/>
        <v/>
      </c>
      <c r="N65" s="549" t="s">
        <v>2421</v>
      </c>
      <c r="O65" s="550" t="s">
        <v>1194</v>
      </c>
      <c r="P65" s="551" t="s">
        <v>3341</v>
      </c>
      <c r="S65" s="1168" t="str">
        <f t="shared" si="20"/>
        <v/>
      </c>
      <c r="T65" s="404">
        <f t="shared" ca="1" si="23"/>
        <v>1.4285714285714287E-2</v>
      </c>
      <c r="U65" s="404">
        <f t="shared" ca="1" si="21"/>
        <v>1.4285714285714287E-2</v>
      </c>
      <c r="V65" s="404">
        <f t="shared" ca="1" si="21"/>
        <v>1.4285714285714287E-2</v>
      </c>
      <c r="X65" s="319">
        <f ca="1">IFERROR(IF(T65&gt;0,$H65,0)*T60,0)</f>
        <v>0.7</v>
      </c>
      <c r="Y65" s="319">
        <f ca="1">IFERROR(IF(LEFT($C65,1)="H",0,IF(U65&gt;0,$H65,IF($H65=0,0,VLOOKUP("H"&amp;Y61,$C62:$H73,6))))*U$104,0)</f>
        <v>6.7199999999999996E-2</v>
      </c>
      <c r="Z65" s="319">
        <f ca="1">IFERROR(IF(LEFT($C65,1)="H",0,IF(V65&gt;0,$H65,IF($H65=0,0,VLOOKUP("H"&amp;Z$105,$C62:$H73,6))))*V60,0)</f>
        <v>0</v>
      </c>
      <c r="AA65" s="404">
        <f t="shared" ca="1" si="22"/>
        <v>1.3034410844629822E-2</v>
      </c>
      <c r="AB65" s="300"/>
      <c r="AC65" s="19"/>
      <c r="AD65" s="19"/>
      <c r="AE65" s="286" t="str">
        <f>AdresseBezug(Tabellen!$O$5:$O$14)</f>
        <v>O5:O14</v>
      </c>
      <c r="AF65" s="286" t="str">
        <f>VLOOKUP(N65,Tabellen!$O$5:$R$57,3,FALSE)</f>
        <v>X60:X62</v>
      </c>
      <c r="AG65" s="286" t="str">
        <f t="shared" ca="1" si="15"/>
        <v>q60:q71</v>
      </c>
      <c r="AH65" s="288" t="b">
        <f t="shared" ca="1" si="16"/>
        <v>0</v>
      </c>
      <c r="AI65" s="288" t="b">
        <f t="shared" ca="1" si="17"/>
        <v>0</v>
      </c>
      <c r="AJ65" s="287">
        <f>IF(ISERROR(VLOOKUP(N65,Tabellen!$O$5:$R$58,4,FALSE)),1,VLOOKUP(N65,Tabellen!$O$5:$R$58,4,FALSE))</f>
        <v>3</v>
      </c>
      <c r="AK65" s="287">
        <f>IF(ISERROR(VLOOKUP(N65,Tabellen!$O$5:$S$58,5,FALSE)),1,VLOOKUP(N65,Tabellen!$O$5:$S$58,5,FALSE))</f>
        <v>2</v>
      </c>
    </row>
    <row r="66" spans="1:41" ht="15" thickTop="1" thickBot="1">
      <c r="A66" s="285">
        <v>5</v>
      </c>
      <c r="B66" s="542"/>
      <c r="C66" s="736"/>
      <c r="D66" s="543"/>
      <c r="E66" s="1219" t="str">
        <f t="shared" si="14"/>
        <v/>
      </c>
      <c r="F66" s="1219"/>
      <c r="G66" s="1220"/>
      <c r="H66" s="534">
        <f ca="1">CHOOSE(AK66,0,
VLOOKUP(P66,OFFSET(INDIRECT("Tabellen!"&amp;AG66),0,0,,2),2,FALSE),
VLOOKUP(P66,OFFSET(INDIRECT("Tabellen!"&amp;AG66),0,0,,3),3,FALSE),
VLOOKUP(P66,OFFSET(INDIRECT("Tabellen!"&amp;AG66),0,0,,3),3,FALSE),
RechLuftschichtRuhend(B66,MATCH(Bauteile!O66,Tabellen!$W$5:$W$12,0)),
VLOOKUP(O66,OFFSET(INDIRECT("Tabellen!"&amp;AF66),0,0,,7),7,FALSE))</f>
        <v>0</v>
      </c>
      <c r="I66" s="316">
        <f t="shared" ca="1" si="18"/>
        <v>0</v>
      </c>
      <c r="J66" s="304" t="str">
        <f>IF(AND(C66="keilförmig",(C75+D75&gt;0)),"keilförmig nur homogen",
IF(AND(C65="",C66&lt;&gt;"",B66&lt;&gt;B67),"Dicke " &amp; C66 &amp; " &lt;&gt; Dicke "&amp; C67,
IF(AND(C65&lt;&gt;"",C66&lt;&gt;"",RIGHT(C65,1)&lt;&gt;RIGHT(C66,1),B66&lt;&gt;B67),"Dicke " &amp; C66 &amp; " &lt;&gt; Dicke "&amp; C67,
IF(COUNTIF(b01_x,"=a1")&gt;1,"a1 nur einmal",
IF(COUNTIF(b01_x,"=b1")&gt;1,"b1 nur einmal",
IF(COUNTIF(b01_x,"=a2")&gt;1,"a2 nur einmal",
IF(COUNTIF(b01_x,"=b2")&gt;1,"b2 nur einmal","")))))))</f>
        <v/>
      </c>
      <c r="M66" s="490" t="str">
        <f t="shared" si="19"/>
        <v/>
      </c>
      <c r="N66" s="549"/>
      <c r="O66" s="550"/>
      <c r="P66" s="551"/>
      <c r="S66" s="1168" t="str">
        <f t="shared" si="20"/>
        <v/>
      </c>
      <c r="T66" s="404">
        <f t="shared" ca="1" si="23"/>
        <v>0</v>
      </c>
      <c r="U66" s="404">
        <f t="shared" ca="1" si="21"/>
        <v>0</v>
      </c>
      <c r="V66" s="404">
        <f t="shared" ca="1" si="21"/>
        <v>0</v>
      </c>
      <c r="X66" s="319">
        <f ca="1">IFERROR(IF(T66&gt;0,$H66,0)*T60,0)</f>
        <v>0</v>
      </c>
      <c r="Y66" s="319">
        <f ca="1">IFERROR(IF(LEFT($C66,1)="H",0,IF(U66&gt;0,$H66,IF($H66=0,0,VLOOKUP("H"&amp;Y61,$C62:$H73,6))))*U$104,0)</f>
        <v>0</v>
      </c>
      <c r="Z66" s="319">
        <f ca="1">IFERROR(IF(LEFT($C66,1)="H",0,IF(V66&gt;0,$H66,IF($H66=0,0,VLOOKUP("H"&amp;Z$105,$C62:$H73,6))))*V60,0)</f>
        <v>0</v>
      </c>
      <c r="AA66" s="404">
        <f t="shared" ca="1" si="22"/>
        <v>0</v>
      </c>
      <c r="AB66" s="299"/>
      <c r="AC66" s="19"/>
      <c r="AD66" s="19"/>
      <c r="AE66" s="286" t="str">
        <f>AdresseBezug(Tabellen!$O$5:$O$14)</f>
        <v>O5:O14</v>
      </c>
      <c r="AF66" s="286" t="e">
        <f>VLOOKUP(N66,Tabellen!$O$5:$R$57,3,FALSE)</f>
        <v>#N/A</v>
      </c>
      <c r="AG66" s="286" t="e">
        <f t="shared" ca="1" si="15"/>
        <v>#N/A</v>
      </c>
      <c r="AH66" s="288" t="b">
        <f t="shared" ca="1" si="16"/>
        <v>1</v>
      </c>
      <c r="AI66" s="288" t="b">
        <f t="shared" ca="1" si="17"/>
        <v>1</v>
      </c>
      <c r="AJ66" s="287">
        <f>IF(ISERROR(VLOOKUP(N66,Tabellen!$O$5:$R$58,4,FALSE)),1,VLOOKUP(N66,Tabellen!$O$5:$R$58,4,FALSE))</f>
        <v>1</v>
      </c>
      <c r="AK66" s="287">
        <f>IF(ISERROR(VLOOKUP(N66,Tabellen!$O$5:$S$58,5,FALSE)),1,VLOOKUP(N66,Tabellen!$O$5:$S$58,5,FALSE))</f>
        <v>1</v>
      </c>
    </row>
    <row r="67" spans="1:41" ht="15" thickTop="1" thickBot="1">
      <c r="A67" s="285">
        <v>6</v>
      </c>
      <c r="B67" s="542"/>
      <c r="C67" s="736"/>
      <c r="D67" s="543"/>
      <c r="E67" s="1219" t="str">
        <f t="shared" si="14"/>
        <v/>
      </c>
      <c r="F67" s="1219"/>
      <c r="G67" s="1220"/>
      <c r="H67" s="534">
        <f ca="1">CHOOSE(AK67,0,
VLOOKUP(P67,OFFSET(INDIRECT("Tabellen!"&amp;AG67),0,0,,2),2,FALSE),
VLOOKUP(P67,OFFSET(INDIRECT("Tabellen!"&amp;AG67),0,0,,3),3,FALSE),
VLOOKUP(P67,OFFSET(INDIRECT("Tabellen!"&amp;AG67),0,0,,3),3,FALSE),
RechLuftschichtRuhend(B67,MATCH(Bauteile!O67,Tabellen!$W$5:$W$12,0)),
VLOOKUP(O67,OFFSET(INDIRECT("Tabellen!"&amp;AF67),0,0,,7),7,FALSE))</f>
        <v>0</v>
      </c>
      <c r="I67" s="316">
        <f t="shared" ca="1" si="18"/>
        <v>0</v>
      </c>
      <c r="J67" s="304" t="str">
        <f>IF(AND(C67="keilförmig",(C75+D75&gt;0)),"keilförmig nur homogen",
IF(AND(C66="",C67&lt;&gt;"",B67&lt;&gt;B68),"Dicke " &amp; C67 &amp; " &lt;&gt; Dicke "&amp; C68,
IF(AND(C66&lt;&gt;"",C67&lt;&gt;"",RIGHT(C66,1)&lt;&gt;RIGHT(C67,1),B67&lt;&gt;B68),"Dicke " &amp; C67 &amp; " &lt;&gt; Dicke "&amp; C68,
IF(COUNTIF(b01_x,"=a1")&gt;1,"a1 nur einmal",
IF(COUNTIF(b01_x,"=b1")&gt;1,"b1 nur einmal",
IF(COUNTIF(b01_x,"=a2")&gt;1,"a2 nur einmal",
IF(COUNTIF(b01_x,"=b2")&gt;1,"b2 nur einmal","")))))))</f>
        <v/>
      </c>
      <c r="M67" s="490" t="str">
        <f t="shared" si="19"/>
        <v/>
      </c>
      <c r="N67" s="549"/>
      <c r="O67" s="550"/>
      <c r="P67" s="551"/>
      <c r="S67" s="1168" t="str">
        <f t="shared" si="20"/>
        <v/>
      </c>
      <c r="T67" s="404">
        <f t="shared" ca="1" si="23"/>
        <v>0</v>
      </c>
      <c r="U67" s="404">
        <f t="shared" ca="1" si="21"/>
        <v>0</v>
      </c>
      <c r="V67" s="404">
        <f t="shared" ca="1" si="21"/>
        <v>0</v>
      </c>
      <c r="X67" s="319">
        <f ca="1">IFERROR(IF(T67&gt;0,$H67,0)*T60,0)</f>
        <v>0</v>
      </c>
      <c r="Y67" s="319">
        <f ca="1">IFERROR(IF(LEFT($C67,1)="H",0,IF(U67&gt;0,$H67,IF($H67=0,0,VLOOKUP("H"&amp;Y61,$C62:$H73,6))))*U$104,0)</f>
        <v>0</v>
      </c>
      <c r="Z67" s="319">
        <f ca="1">IFERROR(IF(LEFT($C67,1)="H",0,IF(V67&gt;0,$H67,IF($H67=0,0,VLOOKUP("H"&amp;Z$105,$C62:$H73,6))))*V60,0)</f>
        <v>0</v>
      </c>
      <c r="AA67" s="404">
        <f t="shared" ca="1" si="22"/>
        <v>0</v>
      </c>
      <c r="AB67" s="299"/>
      <c r="AC67" s="19"/>
      <c r="AD67" s="19"/>
      <c r="AE67" s="286" t="str">
        <f>AdresseBezug(Tabellen!$O$5:$O$14)</f>
        <v>O5:O14</v>
      </c>
      <c r="AF67" s="286" t="e">
        <f>VLOOKUP(N67,Tabellen!$O$5:$R$57,3,FALSE)</f>
        <v>#N/A</v>
      </c>
      <c r="AG67" s="286" t="e">
        <f t="shared" ca="1" si="15"/>
        <v>#N/A</v>
      </c>
      <c r="AH67" s="288" t="b">
        <f t="shared" ca="1" si="16"/>
        <v>1</v>
      </c>
      <c r="AI67" s="288" t="b">
        <f t="shared" ca="1" si="17"/>
        <v>1</v>
      </c>
      <c r="AJ67" s="287">
        <f>IF(ISERROR(VLOOKUP(N67,Tabellen!$O$5:$R$58,4,FALSE)),1,VLOOKUP(N67,Tabellen!$O$5:$R$58,4,FALSE))</f>
        <v>1</v>
      </c>
      <c r="AK67" s="287">
        <f>IF(ISERROR(VLOOKUP(N67,Tabellen!$O$5:$S$58,5,FALSE)),1,VLOOKUP(N67,Tabellen!$O$5:$S$58,5,FALSE))</f>
        <v>1</v>
      </c>
    </row>
    <row r="68" spans="1:41" ht="15" thickTop="1" thickBot="1">
      <c r="A68" s="285">
        <v>7</v>
      </c>
      <c r="B68" s="542"/>
      <c r="C68" s="736"/>
      <c r="D68" s="543"/>
      <c r="E68" s="1219" t="str">
        <f t="shared" si="14"/>
        <v/>
      </c>
      <c r="F68" s="1219"/>
      <c r="G68" s="1220"/>
      <c r="H68" s="534">
        <f ca="1">CHOOSE(AK68,0,
VLOOKUP(P68,OFFSET(INDIRECT("Tabellen!"&amp;AG68),0,0,,2),2,FALSE),
VLOOKUP(P68,OFFSET(INDIRECT("Tabellen!"&amp;AG68),0,0,,3),3,FALSE),
VLOOKUP(P68,OFFSET(INDIRECT("Tabellen!"&amp;AG68),0,0,,3),3,FALSE),
RechLuftschichtRuhend(B68,MATCH(Bauteile!O68,Tabellen!$W$5:$W$12,0)),
VLOOKUP(O68,OFFSET(INDIRECT("Tabellen!"&amp;AF68),0,0,,7),7,FALSE))</f>
        <v>0</v>
      </c>
      <c r="I68" s="316">
        <f t="shared" ca="1" si="18"/>
        <v>0</v>
      </c>
      <c r="J68" s="304" t="str">
        <f>IF(AND(C68="keilförmig",(C75+D75&gt;0)),"keilförmig nur homogen",
IF(AND(C67="",C68&lt;&gt;"",B68&lt;&gt;B69),"Dicke " &amp; C68 &amp; " &lt;&gt; Dicke "&amp; C69,
IF(AND(C67&lt;&gt;"",C68&lt;&gt;"",RIGHT(C67,1)&lt;&gt;RIGHT(C68,1),B68&lt;&gt;B69),"Dicke " &amp; C68 &amp; " &lt;&gt; Dicke "&amp; C69,
IF(COUNTIF(b01_x,"=a1")&gt;1,"a1 nur einmal",
IF(COUNTIF(b01_x,"=b1")&gt;1,"b1 nur einmal",
IF(COUNTIF(b01_x,"=a2")&gt;1,"a2 nur einmal",
IF(COUNTIF(b01_x,"=b2")&gt;1,"b2 nur einmal","")))))))</f>
        <v/>
      </c>
      <c r="M68" s="490" t="str">
        <f t="shared" si="19"/>
        <v/>
      </c>
      <c r="N68" s="549"/>
      <c r="O68" s="550"/>
      <c r="P68" s="551"/>
      <c r="S68" s="1168" t="str">
        <f t="shared" si="20"/>
        <v/>
      </c>
      <c r="T68" s="404">
        <f t="shared" ca="1" si="23"/>
        <v>0</v>
      </c>
      <c r="U68" s="404">
        <f t="shared" ca="1" si="21"/>
        <v>0</v>
      </c>
      <c r="V68" s="404">
        <f t="shared" ca="1" si="21"/>
        <v>0</v>
      </c>
      <c r="X68" s="319">
        <f ca="1">IFERROR(IF(T68&gt;0,$H68,0)*T60,0)</f>
        <v>0</v>
      </c>
      <c r="Y68" s="319">
        <f ca="1">IFERROR(IF(LEFT($C68,1)="H",0,IF(U68&gt;0,$H68,IF($H68=0,0,VLOOKUP("H"&amp;Y61,$C62:$H73,6))))*U$104,0)</f>
        <v>0</v>
      </c>
      <c r="Z68" s="319">
        <f ca="1">IFERROR(IF(LEFT($C68,1)="H",0,IF(V68&gt;0,$H68,IF($H68=0,0,VLOOKUP("H"&amp;Z$105,$C62:$H73,6))))*V60,0)</f>
        <v>0</v>
      </c>
      <c r="AA68" s="404">
        <f t="shared" ca="1" si="22"/>
        <v>0</v>
      </c>
      <c r="AB68" s="299"/>
      <c r="AC68" s="19"/>
      <c r="AD68" s="19"/>
      <c r="AE68" s="286" t="str">
        <f>AdresseBezug(Tabellen!$O$5:$O$14)</f>
        <v>O5:O14</v>
      </c>
      <c r="AF68" s="286" t="e">
        <f>VLOOKUP(N68,Tabellen!$O$5:$R$57,3,FALSE)</f>
        <v>#N/A</v>
      </c>
      <c r="AG68" s="286" t="e">
        <f t="shared" ca="1" si="15"/>
        <v>#N/A</v>
      </c>
      <c r="AH68" s="288" t="b">
        <f t="shared" ca="1" si="16"/>
        <v>1</v>
      </c>
      <c r="AI68" s="288" t="b">
        <f t="shared" ca="1" si="17"/>
        <v>1</v>
      </c>
      <c r="AJ68" s="287">
        <f>IF(ISERROR(VLOOKUP(N68,Tabellen!$O$5:$R$58,4,FALSE)),1,VLOOKUP(N68,Tabellen!$O$5:$R$58,4,FALSE))</f>
        <v>1</v>
      </c>
      <c r="AK68" s="287">
        <f>IF(ISERROR(VLOOKUP(N68,Tabellen!$O$5:$S$58,5,FALSE)),1,VLOOKUP(N68,Tabellen!$O$5:$S$58,5,FALSE))</f>
        <v>1</v>
      </c>
    </row>
    <row r="69" spans="1:41" ht="15" thickTop="1" thickBot="1">
      <c r="A69" s="285">
        <v>8</v>
      </c>
      <c r="B69" s="544"/>
      <c r="C69" s="736"/>
      <c r="D69" s="545"/>
      <c r="E69" s="1219" t="str">
        <f t="shared" si="14"/>
        <v/>
      </c>
      <c r="F69" s="1219"/>
      <c r="G69" s="1220"/>
      <c r="H69" s="534">
        <f ca="1">CHOOSE(AK69,0,
VLOOKUP(P69,OFFSET(INDIRECT("Tabellen!"&amp;AG69),0,0,,2),2,FALSE),
VLOOKUP(P69,OFFSET(INDIRECT("Tabellen!"&amp;AG69),0,0,,3),3,FALSE),
VLOOKUP(P69,OFFSET(INDIRECT("Tabellen!"&amp;AG69),0,0,,3),3,FALSE),
RechLuftschichtRuhend(B69,MATCH(Bauteile!O69,Tabellen!$W$5:$W$12,0)),
VLOOKUP(O69,OFFSET(INDIRECT("Tabellen!"&amp;AF69),0,0,,7),7,FALSE))</f>
        <v>0</v>
      </c>
      <c r="I69" s="316">
        <f t="shared" ca="1" si="18"/>
        <v>0</v>
      </c>
      <c r="J69" s="304" t="str">
        <f>IF(AND(C69="keilförmig",(C75+D75&gt;0)),"keilförmig nur homogen",
IF(AND(C68="",C69&lt;&gt;"",B69&lt;&gt;B70),"Dicke " &amp; C69 &amp; " &lt;&gt; Dicke "&amp; C70,
IF(AND(C68&lt;&gt;"",C69&lt;&gt;"",RIGHT(C68,1)&lt;&gt;RIGHT(C69,1),B69&lt;&gt;B70),"Dicke " &amp; C69 &amp; " &lt;&gt; Dicke "&amp; C70,
IF(COUNTIF(b01_x,"=a1")&gt;1,"a1 nur einmal",
IF(COUNTIF(b01_x,"=b1")&gt;1,"b1 nur einmal",
IF(COUNTIF(b01_x,"=a2")&gt;1,"a2 nur einmal",
IF(COUNTIF(b01_x,"=b2")&gt;1,"b2 nur einmal","")))))))</f>
        <v/>
      </c>
      <c r="M69" s="490" t="str">
        <f t="shared" si="19"/>
        <v/>
      </c>
      <c r="N69" s="552"/>
      <c r="O69" s="553"/>
      <c r="P69" s="554"/>
      <c r="S69" s="1168" t="str">
        <f t="shared" si="20"/>
        <v/>
      </c>
      <c r="T69" s="404">
        <f t="shared" ca="1" si="23"/>
        <v>0</v>
      </c>
      <c r="U69" s="404">
        <f t="shared" ca="1" si="21"/>
        <v>0</v>
      </c>
      <c r="V69" s="404">
        <f t="shared" ca="1" si="21"/>
        <v>0</v>
      </c>
      <c r="X69" s="319">
        <f ca="1">IFERROR(IF(T69&gt;0,$H69,0)*T60,0)</f>
        <v>0</v>
      </c>
      <c r="Y69" s="319">
        <f ca="1">IFERROR(IF(LEFT($C69,1)="H",0,IF(U69&gt;0,$H69,IF($H69=0,0,VLOOKUP("H"&amp;Y61,$C62:$H73,6))))*U$104,0)</f>
        <v>0</v>
      </c>
      <c r="Z69" s="319">
        <f ca="1">IFERROR(IF(LEFT($C69,1)="H",0,IF(V69&gt;0,$H69,IF($H69=0,0,VLOOKUP("H"&amp;Z$105,$C62:$H73,6))))*V60,0)</f>
        <v>0</v>
      </c>
      <c r="AA69" s="404">
        <f t="shared" ca="1" si="22"/>
        <v>0</v>
      </c>
      <c r="AB69" s="299"/>
      <c r="AC69" s="19"/>
      <c r="AD69" s="19"/>
      <c r="AE69" s="286" t="str">
        <f>AdresseBezug(Tabellen!$O$5:$O$14)</f>
        <v>O5:O14</v>
      </c>
      <c r="AF69" s="286" t="e">
        <f>VLOOKUP(N69,Tabellen!$O$5:$R$57,3,FALSE)</f>
        <v>#N/A</v>
      </c>
      <c r="AG69" s="286" t="e">
        <f t="shared" ca="1" si="15"/>
        <v>#N/A</v>
      </c>
      <c r="AH69" s="288" t="b">
        <f t="shared" ca="1" si="16"/>
        <v>1</v>
      </c>
      <c r="AI69" s="288" t="b">
        <f t="shared" ca="1" si="17"/>
        <v>1</v>
      </c>
      <c r="AJ69" s="287">
        <f>IF(ISERROR(VLOOKUP(N69,Tabellen!$O$5:$R$58,4,FALSE)),1,VLOOKUP(N69,Tabellen!$O$5:$R$58,4,FALSE))</f>
        <v>1</v>
      </c>
      <c r="AK69" s="287">
        <f>IF(ISERROR(VLOOKUP(N69,Tabellen!$O$5:$S$58,5,FALSE)),1,VLOOKUP(N69,Tabellen!$O$5:$S$58,5,FALSE))</f>
        <v>1</v>
      </c>
    </row>
    <row r="70" spans="1:41" ht="15" thickTop="1" thickBot="1">
      <c r="A70" s="285">
        <v>9</v>
      </c>
      <c r="B70" s="544"/>
      <c r="C70" s="736"/>
      <c r="D70" s="545"/>
      <c r="E70" s="1219" t="str">
        <f t="shared" si="14"/>
        <v/>
      </c>
      <c r="F70" s="1219"/>
      <c r="G70" s="1220"/>
      <c r="H70" s="534">
        <f ca="1">CHOOSE(AK70,0,
VLOOKUP(P70,OFFSET(INDIRECT("Tabellen!"&amp;AG70),0,0,,2),2,FALSE),
VLOOKUP(P70,OFFSET(INDIRECT("Tabellen!"&amp;AG70),0,0,,3),3,FALSE),
VLOOKUP(P70,OFFSET(INDIRECT("Tabellen!"&amp;AG70),0,0,,3),3,FALSE),
RechLuftschichtRuhend(B70,MATCH(Bauteile!O70,Tabellen!$W$5:$W$12,0)),
VLOOKUP(O70,OFFSET(INDIRECT("Tabellen!"&amp;AF70),0,0,,7),7,FALSE))</f>
        <v>0</v>
      </c>
      <c r="I70" s="316">
        <f t="shared" ca="1" si="18"/>
        <v>0</v>
      </c>
      <c r="J70" s="304" t="str">
        <f>IF(AND(C70="keilförmig",(C75+D75&gt;0)),"keilförmig nur homogen",
IF(AND(C69="",C70&lt;&gt;"",B70&lt;&gt;B71),"Dicke " &amp; C70 &amp; " &lt;&gt; Dicke "&amp; C71,
IF(AND(C69&lt;&gt;"",C70&lt;&gt;"",RIGHT(C69,1)&lt;&gt;RIGHT(C70,1),B70&lt;&gt;B71),"Dicke " &amp; C70 &amp; " &lt;&gt; Dicke "&amp; C71,
IF(COUNTIF(b01_x,"=a1")&gt;1,"a1 nur einmal",
IF(COUNTIF(b01_x,"=b1")&gt;1,"b1 nur einmal",
IF(COUNTIF(b01_x,"=a2")&gt;1,"a2 nur einmal",
IF(COUNTIF(b01_x,"=b2")&gt;1,"b2 nur einmal","")))))))</f>
        <v/>
      </c>
      <c r="M70" s="490" t="str">
        <f t="shared" si="19"/>
        <v/>
      </c>
      <c r="N70" s="552"/>
      <c r="O70" s="553"/>
      <c r="P70" s="554"/>
      <c r="S70" s="1168" t="str">
        <f t="shared" si="20"/>
        <v/>
      </c>
      <c r="T70" s="404">
        <f t="shared" ca="1" si="23"/>
        <v>0</v>
      </c>
      <c r="U70" s="404">
        <f t="shared" ca="1" si="21"/>
        <v>0</v>
      </c>
      <c r="V70" s="404">
        <f t="shared" ca="1" si="21"/>
        <v>0</v>
      </c>
      <c r="X70" s="319">
        <f ca="1">IFERROR(IF(T70&gt;0,$H70,0)*T60,0)</f>
        <v>0</v>
      </c>
      <c r="Y70" s="319">
        <f ca="1">IFERROR(IF(LEFT($C70,1)="H",0,IF(U70&gt;0,$H70,IF($H70=0,0,VLOOKUP("H"&amp;Y61,$C62:$H73,6))))*U$104,0)</f>
        <v>0</v>
      </c>
      <c r="Z70" s="319">
        <f ca="1">IFERROR(IF(LEFT($C70,1)="H",0,IF(V70&gt;0,$H70,IF($H70=0,0,VLOOKUP("H"&amp;Z$105,$C62:$H73,6))))*V60,0)</f>
        <v>0</v>
      </c>
      <c r="AA70" s="404">
        <f t="shared" ca="1" si="22"/>
        <v>0</v>
      </c>
      <c r="AB70" s="299"/>
      <c r="AC70" s="19"/>
      <c r="AD70" s="19"/>
      <c r="AE70" s="286" t="str">
        <f>AdresseBezug(Tabellen!$O$5:$O$14)</f>
        <v>O5:O14</v>
      </c>
      <c r="AF70" s="286" t="e">
        <f>VLOOKUP(N70,Tabellen!$O$5:$R$57,3,FALSE)</f>
        <v>#N/A</v>
      </c>
      <c r="AG70" s="286" t="e">
        <f t="shared" ca="1" si="15"/>
        <v>#N/A</v>
      </c>
      <c r="AH70" s="288" t="b">
        <f t="shared" ca="1" si="16"/>
        <v>1</v>
      </c>
      <c r="AI70" s="288" t="b">
        <f t="shared" ca="1" si="17"/>
        <v>1</v>
      </c>
      <c r="AJ70" s="287">
        <f>IF(ISERROR(VLOOKUP(N70,Tabellen!$O$5:$R$58,4,FALSE)),1,VLOOKUP(N70,Tabellen!$O$5:$R$58,4,FALSE))</f>
        <v>1</v>
      </c>
      <c r="AK70" s="287">
        <f>IF(ISERROR(VLOOKUP(N70,Tabellen!$O$5:$S$58,5,FALSE)),1,VLOOKUP(N70,Tabellen!$O$5:$S$58,5,FALSE))</f>
        <v>1</v>
      </c>
    </row>
    <row r="71" spans="1:41" ht="15" thickTop="1" thickBot="1">
      <c r="A71" s="285">
        <v>10</v>
      </c>
      <c r="B71" s="544"/>
      <c r="C71" s="736"/>
      <c r="D71" s="545"/>
      <c r="E71" s="1219" t="str">
        <f t="shared" si="14"/>
        <v/>
      </c>
      <c r="F71" s="1219"/>
      <c r="G71" s="1220"/>
      <c r="H71" s="534">
        <f ca="1">CHOOSE(AK71,0,
VLOOKUP(P71,OFFSET(INDIRECT("Tabellen!"&amp;AG71),0,0,,2),2,FALSE),
VLOOKUP(P71,OFFSET(INDIRECT("Tabellen!"&amp;AG71),0,0,,3),3,FALSE),
VLOOKUP(P71,OFFSET(INDIRECT("Tabellen!"&amp;AG71),0,0,,3),3,FALSE),
RechLuftschichtRuhend(B71,MATCH(Bauteile!O71,Tabellen!$W$5:$W$12,0)),
VLOOKUP(O71,OFFSET(INDIRECT("Tabellen!"&amp;AF71),0,0,,7),7,FALSE))</f>
        <v>0</v>
      </c>
      <c r="I71" s="316">
        <f t="shared" ca="1" si="18"/>
        <v>0</v>
      </c>
      <c r="J71" s="304" t="str">
        <f>IF(AND(C71="keilförmig",(C75+D75&gt;0)),"keilförmig nur homogen",
IF(AND(C70="",C71&lt;&gt;"",B71&lt;&gt;B72),"Dicke " &amp; C71 &amp; " &lt;&gt; Dicke "&amp; C72,
IF(AND(C70&lt;&gt;"",C71&lt;&gt;"",RIGHT(C70,1)&lt;&gt;RIGHT(C71,1),B71&lt;&gt;B72),"Dicke " &amp; C71 &amp; " &lt;&gt; Dicke "&amp; C72,
IF(COUNTIF(b01_x,"=a1")&gt;1,"a1 nur einmal",
IF(COUNTIF(b01_x,"=b1")&gt;1,"b1 nur einmal",
IF(COUNTIF(b01_x,"=a2")&gt;1,"a2 nur einmal",
IF(COUNTIF(b01_x,"=b2")&gt;1,"b2 nur einmal","")))))))</f>
        <v/>
      </c>
      <c r="M71" s="490" t="str">
        <f t="shared" si="19"/>
        <v/>
      </c>
      <c r="N71" s="552"/>
      <c r="O71" s="553"/>
      <c r="P71" s="554"/>
      <c r="S71" s="1168" t="str">
        <f t="shared" si="20"/>
        <v/>
      </c>
      <c r="T71" s="404">
        <f t="shared" ca="1" si="23"/>
        <v>0</v>
      </c>
      <c r="U71" s="404">
        <f t="shared" ca="1" si="21"/>
        <v>0</v>
      </c>
      <c r="V71" s="404">
        <f t="shared" ca="1" si="21"/>
        <v>0</v>
      </c>
      <c r="X71" s="319">
        <f ca="1">IFERROR(IF(T71&gt;0,$H71,0)*T60,0)</f>
        <v>0</v>
      </c>
      <c r="Y71" s="319">
        <f ca="1">IFERROR(IF(LEFT($C71,1)="H",0,IF(U71&gt;0,$H71,IF($H71=0,0,VLOOKUP("H"&amp;Y61,$C62:$H73,6))))*U$104,0)</f>
        <v>0</v>
      </c>
      <c r="Z71" s="319">
        <f ca="1">IFERROR(IF(LEFT($C71,1)="H",0,IF(V71&gt;0,$H71,IF($H71=0,0,VLOOKUP("H"&amp;Z$105,$C62:$H73,6))))*V60,0)</f>
        <v>0</v>
      </c>
      <c r="AA71" s="404">
        <f t="shared" ca="1" si="22"/>
        <v>0</v>
      </c>
      <c r="AB71" s="299"/>
      <c r="AC71" s="19"/>
      <c r="AD71" s="19"/>
      <c r="AE71" s="286" t="str">
        <f>AdresseBezug(Tabellen!$O$5:$O$14)</f>
        <v>O5:O14</v>
      </c>
      <c r="AF71" s="286" t="e">
        <f>VLOOKUP(N71,Tabellen!$O$5:$R$57,3,FALSE)</f>
        <v>#N/A</v>
      </c>
      <c r="AG71" s="286" t="e">
        <f t="shared" ca="1" si="15"/>
        <v>#N/A</v>
      </c>
      <c r="AH71" s="288" t="b">
        <f t="shared" ca="1" si="16"/>
        <v>1</v>
      </c>
      <c r="AI71" s="288" t="b">
        <f t="shared" ca="1" si="17"/>
        <v>1</v>
      </c>
      <c r="AJ71" s="287">
        <f>IF(ISERROR(VLOOKUP(N71,Tabellen!$O$5:$R$58,4,FALSE)),1,VLOOKUP(N71,Tabellen!$O$5:$R$58,4,FALSE))</f>
        <v>1</v>
      </c>
      <c r="AK71" s="287">
        <f>IF(ISERROR(VLOOKUP(N71,Tabellen!$O$5:$S$58,5,FALSE)),1,VLOOKUP(N71,Tabellen!$O$5:$S$58,5,FALSE))</f>
        <v>1</v>
      </c>
    </row>
    <row r="72" spans="1:41" ht="15" thickTop="1" thickBot="1">
      <c r="A72" s="285">
        <v>11</v>
      </c>
      <c r="B72" s="544"/>
      <c r="C72" s="736"/>
      <c r="D72" s="545"/>
      <c r="E72" s="1219" t="str">
        <f t="shared" si="14"/>
        <v/>
      </c>
      <c r="F72" s="1219"/>
      <c r="G72" s="1220"/>
      <c r="H72" s="534">
        <f ca="1">CHOOSE(AK72,0,
VLOOKUP(P72,OFFSET(INDIRECT("Tabellen!"&amp;AG72),0,0,,2),2,FALSE),
VLOOKUP(P72,OFFSET(INDIRECT("Tabellen!"&amp;AG72),0,0,,3),3,FALSE),
VLOOKUP(P72,OFFSET(INDIRECT("Tabellen!"&amp;AG72),0,0,,3),3,FALSE),
RechLuftschichtRuhend(B72,MATCH(Bauteile!O72,Tabellen!$W$5:$W$12,0)),
VLOOKUP(O72,OFFSET(INDIRECT("Tabellen!"&amp;AF72),0,0,,7),7,FALSE))</f>
        <v>0</v>
      </c>
      <c r="I72" s="316">
        <f t="shared" ca="1" si="18"/>
        <v>0</v>
      </c>
      <c r="J72" s="304" t="str">
        <f>IF(AND(C72="keilförmig",(C75+D75&gt;0)),"keilförmig nur homogen",
IF(AND(C71="",C72&lt;&gt;"",B72&lt;&gt;B73),"Dicke " &amp; C72 &amp; " &lt;&gt; Dicke "&amp; C73,
IF(AND(C71&lt;&gt;"",C72&lt;&gt;"",RIGHT(C71,1)&lt;&gt;RIGHT(C72,1),B72&lt;&gt;B73),"Dicke " &amp; C72 &amp; " &lt;&gt; Dicke "&amp; C73,
IF(COUNTIF(b01_x,"=a1")&gt;1,"a1 nur einmal",
IF(COUNTIF(b01_x,"=b1")&gt;1,"b1 nur einmal",
IF(COUNTIF(b01_x,"=a2")&gt;1,"a2 nur einmal",
IF(COUNTIF(b01_x,"=b2")&gt;1,"b2 nur einmal","")))))))</f>
        <v/>
      </c>
      <c r="M72" s="490" t="str">
        <f t="shared" si="19"/>
        <v/>
      </c>
      <c r="N72" s="552"/>
      <c r="O72" s="553"/>
      <c r="P72" s="554"/>
      <c r="S72" s="1168" t="str">
        <f t="shared" si="20"/>
        <v/>
      </c>
      <c r="T72" s="404">
        <f t="shared" ca="1" si="23"/>
        <v>0</v>
      </c>
      <c r="U72" s="404">
        <f t="shared" ca="1" si="21"/>
        <v>0</v>
      </c>
      <c r="V72" s="404">
        <f t="shared" ca="1" si="21"/>
        <v>0</v>
      </c>
      <c r="X72" s="319">
        <f ca="1">IFERROR(IF(T72&gt;0,$H72,0)*T60,0)</f>
        <v>0</v>
      </c>
      <c r="Y72" s="319">
        <f ca="1">IFERROR(IF(LEFT($C72,1)="H",0,IF(U72&gt;0,$H72,IF($H72=0,0,VLOOKUP("H"&amp;Y61,$C62:$H73,6))))*U$104,0)</f>
        <v>0</v>
      </c>
      <c r="Z72" s="319">
        <f ca="1">IFERROR(IF(LEFT($C72,1)="H",0,IF(V72&gt;0,$H72,IF($H72=0,0,VLOOKUP("H"&amp;Z$105,$C62:$H73,6))))*V60,0)</f>
        <v>0</v>
      </c>
      <c r="AA72" s="404">
        <f t="shared" ca="1" si="22"/>
        <v>0</v>
      </c>
      <c r="AB72" s="299"/>
      <c r="AC72" s="19"/>
      <c r="AD72" s="19"/>
      <c r="AE72" s="286" t="str">
        <f>AdresseBezug(Tabellen!$O$5:$O$14)</f>
        <v>O5:O14</v>
      </c>
      <c r="AF72" s="286" t="e">
        <f>VLOOKUP(N72,Tabellen!$O$5:$R$57,3,FALSE)</f>
        <v>#N/A</v>
      </c>
      <c r="AG72" s="286" t="e">
        <f t="shared" ca="1" si="15"/>
        <v>#N/A</v>
      </c>
      <c r="AH72" s="288" t="b">
        <f t="shared" ca="1" si="16"/>
        <v>1</v>
      </c>
      <c r="AI72" s="288" t="b">
        <f t="shared" ca="1" si="17"/>
        <v>1</v>
      </c>
      <c r="AJ72" s="287">
        <f>IF(ISERROR(VLOOKUP(N72,Tabellen!$O$5:$R$58,4,FALSE)),1,VLOOKUP(N72,Tabellen!$O$5:$R$58,4,FALSE))</f>
        <v>1</v>
      </c>
      <c r="AK72" s="287">
        <f>IF(ISERROR(VLOOKUP(N72,Tabellen!$O$5:$S$58,5,FALSE)),1,VLOOKUP(N72,Tabellen!$O$5:$S$58,5,FALSE))</f>
        <v>1</v>
      </c>
    </row>
    <row r="73" spans="1:41" ht="15" thickTop="1" thickBot="1">
      <c r="A73" s="285">
        <v>12</v>
      </c>
      <c r="B73" s="544"/>
      <c r="C73" s="736"/>
      <c r="D73" s="545"/>
      <c r="E73" s="302" t="str">
        <f t="shared" si="14"/>
        <v/>
      </c>
      <c r="F73" s="302"/>
      <c r="G73" s="303"/>
      <c r="H73" s="534">
        <f ca="1">CHOOSE(AK73,0,
VLOOKUP(P73,OFFSET(INDIRECT("Tabellen!"&amp;AG73),0,0,,2),2,FALSE),
VLOOKUP(P73,OFFSET(INDIRECT("Tabellen!"&amp;AG73),0,0,,3),3,FALSE),
VLOOKUP(P73,OFFSET(INDIRECT("Tabellen!"&amp;AG73),0,0,,3),3,FALSE),
RechLuftschichtRuhend(B73,MATCH(Bauteile!O73,Tabellen!$W$5:$W$12,0)),
VLOOKUP(O73,OFFSET(INDIRECT("Tabellen!"&amp;AF73),0,0,,7),7,FALSE))</f>
        <v>0</v>
      </c>
      <c r="I73" s="316">
        <f t="shared" ca="1" si="18"/>
        <v>0</v>
      </c>
      <c r="J73" s="304" t="str">
        <f>IF(AND(C73="keilförmig",(C75+D75&gt;0)),"keilförmig nur homogen",
IF(AND(C72="",C73&lt;&gt;"",B73&lt;&gt;B74),"Dicke " &amp; C73 &amp; " &lt;&gt; Dicke "&amp; C74,
IF(AND(C72&lt;&gt;"",C73&lt;&gt;"",RIGHT(C72,1)&lt;&gt;RIGHT(C73,1),B73&lt;&gt;B74),"Dicke " &amp; C73 &amp; " &lt;&gt; Dicke "&amp; C74,
IF(COUNTIF(b01_x,"=a1")&gt;1,"a1 nur einmal",
IF(COUNTIF(b01_x,"=b1")&gt;1,"b1 nur einmal",
IF(COUNTIF(b01_x,"=a2")&gt;1,"a2 nur einmal",
IF(COUNTIF(b01_x,"=b2")&gt;1,"b2 nur einmal","")))))))</f>
        <v/>
      </c>
      <c r="M73" s="490" t="str">
        <f t="shared" si="19"/>
        <v/>
      </c>
      <c r="N73" s="552"/>
      <c r="O73" s="553"/>
      <c r="P73" s="554"/>
      <c r="S73" s="1168" t="str">
        <f t="shared" si="20"/>
        <v/>
      </c>
      <c r="T73" s="404">
        <f t="shared" ca="1" si="23"/>
        <v>0</v>
      </c>
      <c r="U73" s="404">
        <f t="shared" ca="1" si="21"/>
        <v>0</v>
      </c>
      <c r="V73" s="404">
        <f t="shared" ca="1" si="21"/>
        <v>0</v>
      </c>
      <c r="X73" s="319">
        <f ca="1">IFERROR(IF(T73&gt;0,$H73,0)*T60,0)</f>
        <v>0</v>
      </c>
      <c r="Y73" s="319">
        <f ca="1">IFERROR(IF(LEFT($C73,1)="H",0,IF(U73&gt;0,$H73,IF($H73=0,0,VLOOKUP("H"&amp;Y61,$C62:$H73,6))))*U$104,0)</f>
        <v>0</v>
      </c>
      <c r="Z73" s="319">
        <f ca="1">IFERROR(IF(LEFT($C73,1)="H",0,IF(V73&gt;0,$H73,IF($H73=0,0,VLOOKUP("H"&amp;Z$105,$C62:$H73,6))))*V60,0)</f>
        <v>0</v>
      </c>
      <c r="AA73" s="404">
        <f t="shared" ca="1" si="22"/>
        <v>0</v>
      </c>
      <c r="AB73" s="299"/>
      <c r="AC73" s="19"/>
      <c r="AD73" s="19"/>
      <c r="AE73" s="286" t="str">
        <f>AdresseBezug(Tabellen!$O$5:$O$14)</f>
        <v>O5:O14</v>
      </c>
      <c r="AF73" s="286" t="e">
        <f>VLOOKUP(N73,Tabellen!$O$5:$R$57,3,FALSE)</f>
        <v>#N/A</v>
      </c>
      <c r="AG73" s="286" t="e">
        <f t="shared" ca="1" si="15"/>
        <v>#N/A</v>
      </c>
      <c r="AH73" s="288" t="b">
        <f t="shared" ca="1" si="16"/>
        <v>1</v>
      </c>
      <c r="AI73" s="288" t="b">
        <f t="shared" ca="1" si="17"/>
        <v>1</v>
      </c>
      <c r="AJ73" s="287">
        <f>IF(ISERROR(VLOOKUP(N73,Tabellen!$O$5:$R$58,4,FALSE)),1,VLOOKUP(N73,Tabellen!$O$5:$R$58,4,FALSE))</f>
        <v>1</v>
      </c>
      <c r="AK73" s="287">
        <f>IF(ISERROR(VLOOKUP(N73,Tabellen!$O$5:$S$58,5,FALSE)),1,VLOOKUP(N73,Tabellen!$O$5:$S$58,5,FALSE))</f>
        <v>1</v>
      </c>
    </row>
    <row r="74" spans="1:41" ht="14.4" thickTop="1">
      <c r="A74" s="281" t="s">
        <v>812</v>
      </c>
      <c r="B74" s="284"/>
      <c r="C74" s="409" t="s">
        <v>1944</v>
      </c>
      <c r="D74" s="409" t="s">
        <v>1945</v>
      </c>
      <c r="E74" s="301" t="str">
        <f>E61</f>
        <v>Wärmestrom horizontal gegen Erdreich (Rse=0)</v>
      </c>
      <c r="F74" s="301"/>
      <c r="G74" s="301"/>
      <c r="H74" s="284"/>
      <c r="I74" s="154"/>
      <c r="J74" s="315">
        <f>IF(E74&gt;0,VLOOKUP(E74,Tabellen!$W$5:$Y$12,3,FALSE),0)</f>
        <v>0</v>
      </c>
      <c r="M74" s="57"/>
      <c r="Q74" s="57"/>
      <c r="R74" s="57"/>
      <c r="S74" s="295" t="s">
        <v>812</v>
      </c>
      <c r="T74" s="403">
        <f>IF(T60&gt;0,$J74,0)</f>
        <v>0</v>
      </c>
      <c r="U74" s="403">
        <f>IF(U60&gt;0,$J74,0)</f>
        <v>0</v>
      </c>
      <c r="V74" s="403">
        <f>IF(V60&gt;0,$J74,0)</f>
        <v>0</v>
      </c>
      <c r="X74" s="320"/>
      <c r="Y74" s="320"/>
      <c r="Z74" s="320"/>
      <c r="AA74" s="403">
        <f>J74</f>
        <v>0</v>
      </c>
      <c r="AB74" s="299"/>
      <c r="AC74" s="19"/>
      <c r="AD74" s="19"/>
      <c r="AE74" s="713" t="s">
        <v>2459</v>
      </c>
      <c r="AF74" s="713"/>
      <c r="AG74" s="713"/>
      <c r="AH74" s="713" t="s">
        <v>1942</v>
      </c>
      <c r="AI74" s="713"/>
      <c r="AJ74" s="713"/>
      <c r="AL74" s="713" t="s">
        <v>2460</v>
      </c>
      <c r="AM74" s="714"/>
    </row>
    <row r="75" spans="1:41" ht="15">
      <c r="A75" s="364" t="s">
        <v>342</v>
      </c>
      <c r="B75" s="317">
        <f>SUMIF(C62:C73,"",B62:B73)+SUMIF(C62:C73,"G1",B62:B73)+SUMIF(C62:C73,"G2",B62:B73)</f>
        <v>440</v>
      </c>
      <c r="C75" s="317">
        <f>SUMIF(C62:C73,"G1",D62:D73)+SUMIF(C62:C73,"H1",D62:D73)</f>
        <v>0</v>
      </c>
      <c r="D75" s="317">
        <f>SUMIF(C62:C73,"G2",D62:D73)+SUMIF(C62:C73,"H2",D62:D73)</f>
        <v>0</v>
      </c>
      <c r="E75" s="532" t="s">
        <v>2514</v>
      </c>
      <c r="F75" s="533" t="str">
        <f>IF(AND(C75&gt;0,D75=0),"mit inhomogen Schichten (1 Ebene)",
IF(AND(C75&gt;0,D75&gt;0),"mit inhomogen Schichten (2 Ebenen, um 90° gedreht)",
IF(SUM(M62:M73)&gt;0,"mit keilförmiger Schicht","mit homogenen Schichten")))</f>
        <v>mit homogenen Schichten</v>
      </c>
      <c r="G75" s="283"/>
      <c r="H75" s="152"/>
      <c r="I75" s="152"/>
      <c r="J75" s="274"/>
      <c r="K75" s="46" t="str">
        <f>IF(OR(C75&gt;0,D75&gt;0),AK75,IF(SUM(M62:M73)&gt;0,AO75,""))</f>
        <v/>
      </c>
      <c r="L75" s="46"/>
      <c r="M75" s="46"/>
      <c r="N75" s="46"/>
      <c r="O75" s="46"/>
      <c r="P75" s="46"/>
      <c r="Q75" s="57"/>
      <c r="R75" s="57"/>
      <c r="S75" s="295" t="s">
        <v>3427</v>
      </c>
      <c r="T75" s="404">
        <f ca="1">SUM(T61:T74)</f>
        <v>3.8330381383322552</v>
      </c>
      <c r="U75" s="404">
        <f ca="1">SUM(U61:U74)</f>
        <v>3.7030381383322553</v>
      </c>
      <c r="V75" s="404">
        <f ca="1">SUM(V61:V74)</f>
        <v>3.7030381383322553</v>
      </c>
      <c r="X75" s="320">
        <f ca="1">SUM(X62:X73)</f>
        <v>2.375</v>
      </c>
      <c r="Y75" s="320">
        <f ca="1">SUM(Y62:Y73)</f>
        <v>0.22800000000000004</v>
      </c>
      <c r="Z75" s="320">
        <f ca="1">SUM(Z62:Z73)</f>
        <v>0</v>
      </c>
      <c r="AA75" s="405">
        <f ca="1">SUM(AA61:AA74)</f>
        <v>3.5086844327849041</v>
      </c>
      <c r="AB75" s="297" t="s">
        <v>3417</v>
      </c>
      <c r="AC75" s="19"/>
      <c r="AD75" s="19"/>
      <c r="AK75" s="207" t="s">
        <v>3433</v>
      </c>
      <c r="AO75" s="207" t="s">
        <v>955</v>
      </c>
    </row>
    <row r="76" spans="1:41" ht="15">
      <c r="A76" s="275"/>
      <c r="B76" s="276" t="str">
        <f>IF(OR(C75&gt;0,D75&gt;0),AH76,IF(SUM(M62:M73)&gt;0,AL76,AE76))</f>
        <v>Wärmedurchgangswiderstand</v>
      </c>
      <c r="C76" s="276"/>
      <c r="G76" s="37"/>
      <c r="H76" s="521" t="str">
        <f>IF(OR(C75&gt;0,D75&gt;0),AI76,IF(SUM(M62:M73)&gt;0,AM76,AF76))</f>
        <v>R = Rsi + ∑ di / λi + Rse =</v>
      </c>
      <c r="I76" s="513">
        <f ca="1">IF(OR(C75&gt;0,D75&gt;0),AJ76,IF(SUM(M62:M73)&gt;0,AN76,AG76))</f>
        <v>3.8330381383322552</v>
      </c>
      <c r="J76" s="277" t="s">
        <v>809</v>
      </c>
      <c r="K76" s="1226" t="str">
        <f>IF(OR(C75&gt;0,D75&gt;0),AK76,IF(SUM(M62:M73)&gt;0,AO76,""))</f>
        <v/>
      </c>
      <c r="L76" s="1227"/>
      <c r="M76" s="1227"/>
      <c r="N76" s="1227"/>
      <c r="O76" s="1227"/>
      <c r="P76" s="1227"/>
      <c r="Q76" s="57"/>
      <c r="R76" s="57"/>
      <c r="S76" s="1170" t="s">
        <v>3428</v>
      </c>
      <c r="T76" s="404">
        <f ca="1">IFERROR(T60/T75,0)</f>
        <v>0.26088965564926453</v>
      </c>
      <c r="U76" s="404">
        <f t="shared" ref="U76:V76" ca="1" si="24">IFERROR(U60/U75,0)</f>
        <v>0</v>
      </c>
      <c r="V76" s="404">
        <f t="shared" ca="1" si="24"/>
        <v>0</v>
      </c>
      <c r="X76" s="321"/>
      <c r="Y76" s="321"/>
      <c r="Z76" s="321"/>
      <c r="AA76" s="322"/>
      <c r="AB76" s="299"/>
      <c r="AC76" s="19"/>
      <c r="AD76" s="19"/>
      <c r="AE76" s="711" t="s">
        <v>2461</v>
      </c>
      <c r="AF76" s="710" t="s">
        <v>2466</v>
      </c>
      <c r="AG76" s="715">
        <f ca="1">T75</f>
        <v>3.8330381383322552</v>
      </c>
      <c r="AH76" s="711" t="s">
        <v>2468</v>
      </c>
      <c r="AI76" s="710" t="s">
        <v>3429</v>
      </c>
      <c r="AJ76" s="715">
        <f ca="1">IF(SUM(T76:V76)&gt;0,1/SUM(T76:V76),0)</f>
        <v>3.8330381383322552</v>
      </c>
      <c r="AK76" s="207" t="s">
        <v>2464</v>
      </c>
      <c r="AL76" s="711" t="s">
        <v>2470</v>
      </c>
      <c r="AM76" s="710" t="s">
        <v>2485</v>
      </c>
      <c r="AN76" s="715" t="str">
        <f>IF(SUM(M62:M73)&gt;0,SUM(M62:M73),"")</f>
        <v/>
      </c>
      <c r="AO76" s="207" t="s">
        <v>2416</v>
      </c>
    </row>
    <row r="77" spans="1:41" ht="15">
      <c r="A77" s="275"/>
      <c r="B77" s="276" t="str">
        <f>IF(OR(C75&gt;0,D75&gt;0),AH77,IF(SUM(M62:M73)&gt;0,AL77,AE77))</f>
        <v xml:space="preserve"> </v>
      </c>
      <c r="G77" s="276"/>
      <c r="H77" s="521" t="str">
        <f>IF(OR(C75&gt;0,D75&gt;0),AI77,IF(SUM(M62:M73)&gt;0,AM77,AF77))</f>
        <v xml:space="preserve"> </v>
      </c>
      <c r="I77" s="513" t="str">
        <f>IF(OR(C75&gt;0,D75&gt;0),AJ77,IF(SUM(M62:M73)&gt;0,AN77,AG77))</f>
        <v xml:space="preserve"> </v>
      </c>
      <c r="J77" s="277" t="s">
        <v>809</v>
      </c>
      <c r="K77" s="1226"/>
      <c r="L77" s="1227"/>
      <c r="M77" s="1227"/>
      <c r="N77" s="1227"/>
      <c r="O77" s="1227"/>
      <c r="P77" s="1227"/>
      <c r="Q77" s="57"/>
      <c r="R77" s="57"/>
      <c r="S77" s="297" t="s">
        <v>3426</v>
      </c>
      <c r="T77" s="405"/>
      <c r="U77" s="405"/>
      <c r="V77" s="405">
        <f ca="1">IF(SUM(T76:V76)&gt;0,1/SUM(T76:V76),0)</f>
        <v>3.8330381383322552</v>
      </c>
      <c r="AC77" s="19"/>
      <c r="AD77" s="19"/>
      <c r="AE77" s="711" t="s">
        <v>955</v>
      </c>
      <c r="AF77" s="710" t="s">
        <v>955</v>
      </c>
      <c r="AG77" s="715" t="s">
        <v>955</v>
      </c>
      <c r="AH77" s="711" t="s">
        <v>2465</v>
      </c>
      <c r="AI77" s="710" t="s">
        <v>3430</v>
      </c>
      <c r="AJ77" s="715">
        <f ca="1">AA75</f>
        <v>3.5086844327849041</v>
      </c>
      <c r="AK77" s="207" t="s">
        <v>955</v>
      </c>
      <c r="AL77" s="711" t="s">
        <v>2469</v>
      </c>
      <c r="AM77" s="710" t="s">
        <v>2467</v>
      </c>
      <c r="AN77" s="715" t="str">
        <f>IF(SUM(M62:M73)&gt;0,SUM(I61:J74),"")</f>
        <v/>
      </c>
      <c r="AO77" s="207" t="s">
        <v>955</v>
      </c>
    </row>
    <row r="78" spans="1:41" ht="15">
      <c r="A78" s="280"/>
      <c r="B78" s="281" t="str">
        <f>IF(OR(C75&gt;0,D75&gt;0),AH78,IF(SUM(M62:M73)&gt;0,AL78,AE78))</f>
        <v>Wärmedurchgangskoeffizient</v>
      </c>
      <c r="C78" s="154"/>
      <c r="D78" s="154"/>
      <c r="E78" s="154"/>
      <c r="F78" s="154"/>
      <c r="G78" s="154"/>
      <c r="H78" s="522" t="str">
        <f>IF(OR(C75&gt;0,D75&gt;0),AI78,IF(SUM(M62:M73)&gt;0,AM78,AF78))</f>
        <v>U = 1 / R =</v>
      </c>
      <c r="I78" s="514">
        <f ca="1">IF(OR(C75&gt;0,D75&gt;0),AJ78,IF(SUM(M62:M73)&gt;0,AN78,AG78))</f>
        <v>0.26088965564926453</v>
      </c>
      <c r="J78" s="282" t="s">
        <v>815</v>
      </c>
      <c r="K78" s="46" t="str">
        <f>IF(OR(C75&gt;0,D75&gt;0),AK78,IF(SUM(M62:M73)&gt;0,AO78,""))</f>
        <v/>
      </c>
      <c r="L78" s="46"/>
      <c r="M78" s="46"/>
      <c r="N78" s="46"/>
      <c r="O78" s="46"/>
      <c r="P78" s="46"/>
      <c r="Q78" s="57"/>
      <c r="R78" s="57"/>
      <c r="T78" s="292"/>
      <c r="U78" s="57"/>
      <c r="V78" s="57"/>
      <c r="W78" s="57"/>
      <c r="X78" s="292"/>
      <c r="Y78" s="292"/>
      <c r="Z78" s="292"/>
      <c r="AC78" s="19"/>
      <c r="AD78" s="19"/>
      <c r="AE78" s="711" t="s">
        <v>813</v>
      </c>
      <c r="AF78" s="710" t="s">
        <v>2463</v>
      </c>
      <c r="AG78" s="715">
        <f ca="1">IF(AG76&gt;0,1/AG76,"")</f>
        <v>0.26088965564926453</v>
      </c>
      <c r="AH78" s="711" t="s">
        <v>813</v>
      </c>
      <c r="AI78" s="710" t="s">
        <v>3431</v>
      </c>
      <c r="AJ78" s="715">
        <f ca="1">IF((AJ76+AJ77)&gt;0,2/(AJ76+AJ77),0)</f>
        <v>0.27241563279279135</v>
      </c>
      <c r="AK78" s="207" t="str">
        <f>"Hier: Rtot;upper / Rtot;lower = "&amp; IF(AND(I77&gt;0,(C75+D75)&gt;0),TEXT(I76/I77,"0,00")&amp;IF(I76/I77&lt;=1.5," &lt;= 1,5, d.h. zulässig"," &gt; 1,5, d.h. nicht zulässig"),"nicht relevant")</f>
        <v>Hier: Rtot;upper / Rtot;lower = nicht relevant</v>
      </c>
      <c r="AL78" s="711" t="s">
        <v>2462</v>
      </c>
      <c r="AM78" s="710" t="s">
        <v>2486</v>
      </c>
      <c r="AN78" s="715" t="str">
        <f>IF(SUM(M62:M73)&gt;0,IF(AN76*AN77&gt;0,1/AN76*LN(1+AN76/AN77),""),"")</f>
        <v/>
      </c>
      <c r="AO78" s="207" t="s">
        <v>2417</v>
      </c>
    </row>
    <row r="79" spans="1:41" s="18" customFormat="1" ht="13.8">
      <c r="A79" s="33"/>
      <c r="B79" s="33"/>
      <c r="C79" s="33"/>
      <c r="D79" s="33"/>
      <c r="E79" s="33"/>
      <c r="F79" s="33"/>
      <c r="G79" s="33"/>
      <c r="H79" s="33"/>
      <c r="I79" s="33"/>
      <c r="J79" s="33"/>
      <c r="K79" s="33"/>
      <c r="L79" s="33"/>
      <c r="M79" s="33"/>
      <c r="Q79" s="33"/>
      <c r="R79" s="33"/>
      <c r="AC79" s="19"/>
      <c r="AD79" s="19"/>
      <c r="AE79" s="187"/>
      <c r="AF79" s="187"/>
      <c r="AG79" s="187"/>
      <c r="AH79" s="187"/>
      <c r="AI79" s="187"/>
      <c r="AJ79" s="187"/>
      <c r="AK79" s="187"/>
      <c r="AL79" s="149"/>
      <c r="AM79" s="187"/>
      <c r="AN79" s="187"/>
      <c r="AO79" s="187"/>
    </row>
    <row r="80" spans="1:41" ht="13.8">
      <c r="A80" s="419" t="s">
        <v>819</v>
      </c>
      <c r="B80" s="1214" t="s">
        <v>2523</v>
      </c>
      <c r="C80" s="1215"/>
      <c r="D80" s="1215"/>
      <c r="E80" s="1215"/>
      <c r="F80" s="1216"/>
      <c r="G80" s="1216"/>
      <c r="H80" s="1216"/>
      <c r="I80" s="523">
        <f ca="1">I100</f>
        <v>0.28001460945788481</v>
      </c>
      <c r="J80" s="737">
        <v>0.5</v>
      </c>
      <c r="K80" s="33"/>
      <c r="L80" s="87">
        <f>ROW(A81)</f>
        <v>81</v>
      </c>
      <c r="M80" s="87">
        <f>ROW(A100)</f>
        <v>100</v>
      </c>
      <c r="N80" s="515">
        <f>(ROW(A80)-ROW($A$36))/(ROW($A$58)-ROW($A$36))+1</f>
        <v>3</v>
      </c>
      <c r="O80" s="216"/>
      <c r="P80" s="216"/>
      <c r="Q80" s="87"/>
      <c r="R80" s="87"/>
      <c r="S80" s="297" t="s">
        <v>3414</v>
      </c>
      <c r="T80" s="294"/>
      <c r="U80" s="293"/>
      <c r="V80" s="293"/>
      <c r="X80" s="297" t="s">
        <v>3415</v>
      </c>
      <c r="Y80" s="297"/>
      <c r="Z80" s="297"/>
      <c r="AA80" s="294"/>
      <c r="AB80" s="298"/>
      <c r="AC80" s="19"/>
      <c r="AD80" s="19"/>
    </row>
    <row r="81" spans="1:39" ht="22.8">
      <c r="A81" s="310" t="s">
        <v>1125</v>
      </c>
      <c r="B81" s="365" t="s">
        <v>1115</v>
      </c>
      <c r="C81" s="1221" t="s">
        <v>3425</v>
      </c>
      <c r="D81" s="1222"/>
      <c r="E81" s="306" t="s">
        <v>1116</v>
      </c>
      <c r="F81" s="305"/>
      <c r="G81" s="305"/>
      <c r="H81" s="306" t="s">
        <v>1120</v>
      </c>
      <c r="I81" s="306" t="s">
        <v>1679</v>
      </c>
      <c r="J81" s="591" t="s">
        <v>1113</v>
      </c>
      <c r="K81" s="33"/>
      <c r="M81" s="57"/>
      <c r="N81" s="387"/>
      <c r="Q81" s="57"/>
      <c r="R81" s="57"/>
      <c r="S81" s="295" t="s">
        <v>3416</v>
      </c>
      <c r="T81" s="1167">
        <v>0</v>
      </c>
      <c r="U81" s="296">
        <v>1</v>
      </c>
      <c r="V81" s="296">
        <v>2</v>
      </c>
      <c r="X81" s="1169" t="s">
        <v>3413</v>
      </c>
      <c r="Y81" s="296"/>
      <c r="Z81" s="296"/>
      <c r="AA81" s="296" t="s">
        <v>3418</v>
      </c>
      <c r="AB81" s="298"/>
      <c r="AC81" s="19"/>
      <c r="AD81" s="19"/>
      <c r="AE81" s="272" t="s">
        <v>824</v>
      </c>
      <c r="AF81" s="197"/>
      <c r="AG81" s="197"/>
      <c r="AH81" s="195" t="s">
        <v>842</v>
      </c>
      <c r="AI81" s="199"/>
      <c r="AJ81" s="289" t="s">
        <v>1671</v>
      </c>
      <c r="AK81" s="289"/>
    </row>
    <row r="82" spans="1:39" ht="13.8">
      <c r="A82" s="312"/>
      <c r="B82" s="306" t="s">
        <v>807</v>
      </c>
      <c r="C82" s="306" t="s">
        <v>3424</v>
      </c>
      <c r="D82" s="306" t="s">
        <v>807</v>
      </c>
      <c r="E82" s="311" t="s">
        <v>806</v>
      </c>
      <c r="F82" s="770"/>
      <c r="G82" s="771"/>
      <c r="H82" s="306" t="s">
        <v>808</v>
      </c>
      <c r="I82" s="306" t="s">
        <v>1122</v>
      </c>
      <c r="J82" s="591" t="s">
        <v>809</v>
      </c>
      <c r="N82" s="387"/>
      <c r="S82" s="295" t="s">
        <v>1114</v>
      </c>
      <c r="T82" s="405">
        <f>1-U82-V82</f>
        <v>1</v>
      </c>
      <c r="U82" s="405">
        <f>IF(C97=0,0,SUMIF($C84:$C95,"H"&amp;U81,$D84:$D95)/C97)</f>
        <v>0</v>
      </c>
      <c r="V82" s="405">
        <f>IF(D97=0,0,SUMIF($C84:$C95,"H"&amp;V81,$D84:$D95)/D97)</f>
        <v>0</v>
      </c>
      <c r="X82" s="407" t="s">
        <v>3423</v>
      </c>
      <c r="Y82" s="407" t="s">
        <v>1910</v>
      </c>
      <c r="Z82" s="407"/>
      <c r="AA82" s="406" t="s">
        <v>3432</v>
      </c>
      <c r="AB82" s="299"/>
      <c r="AC82" s="19"/>
      <c r="AD82" s="19"/>
      <c r="AE82" s="197"/>
      <c r="AF82" s="197"/>
      <c r="AG82" s="197"/>
      <c r="AH82" s="199"/>
      <c r="AI82" s="199"/>
      <c r="AJ82" s="289" t="s">
        <v>1672</v>
      </c>
      <c r="AK82" s="289"/>
    </row>
    <row r="83" spans="1:39" ht="14.4" thickBot="1">
      <c r="A83" s="279" t="s">
        <v>810</v>
      </c>
      <c r="B83" s="276"/>
      <c r="C83" s="276"/>
      <c r="D83" s="276"/>
      <c r="E83" s="1217" t="s">
        <v>1882</v>
      </c>
      <c r="F83" s="1218"/>
      <c r="G83" s="1218"/>
      <c r="H83" s="276"/>
      <c r="I83" s="278"/>
      <c r="J83" s="315">
        <f>IF(E83&gt;0,VLOOKUP(E83,Tabellen!$W$5:$Y$12,2,FALSE),0)</f>
        <v>0.17</v>
      </c>
      <c r="N83" s="418" t="s">
        <v>821</v>
      </c>
      <c r="O83" s="418" t="s">
        <v>818</v>
      </c>
      <c r="P83" s="418" t="s">
        <v>820</v>
      </c>
      <c r="S83" s="295" t="s">
        <v>810</v>
      </c>
      <c r="T83" s="403">
        <f>IF(T82&gt;0,$J83,0)</f>
        <v>0.17</v>
      </c>
      <c r="U83" s="403">
        <f>IF(U82&gt;0,$J83,0)</f>
        <v>0</v>
      </c>
      <c r="V83" s="403">
        <f>IF(V82&gt;0,$J83,0)</f>
        <v>0</v>
      </c>
      <c r="X83" s="1169">
        <v>0</v>
      </c>
      <c r="Y83" s="1169">
        <v>1</v>
      </c>
      <c r="Z83" s="1169">
        <v>2</v>
      </c>
      <c r="AA83" s="403">
        <f>J83</f>
        <v>0.17</v>
      </c>
      <c r="AB83" s="299"/>
      <c r="AC83" s="19"/>
      <c r="AD83" s="19"/>
      <c r="AE83" s="197" t="s">
        <v>821</v>
      </c>
      <c r="AF83" s="197" t="s">
        <v>818</v>
      </c>
      <c r="AG83" s="197" t="s">
        <v>820</v>
      </c>
      <c r="AH83" s="199" t="s">
        <v>1678</v>
      </c>
      <c r="AI83" s="199" t="s">
        <v>818</v>
      </c>
    </row>
    <row r="84" spans="1:39" ht="23.4" thickBot="1">
      <c r="A84" s="285">
        <v>1</v>
      </c>
      <c r="B84" s="540">
        <v>40</v>
      </c>
      <c r="C84" s="736"/>
      <c r="D84" s="541"/>
      <c r="E84" s="1219" t="str">
        <f t="shared" ref="E84:E95" si="25">IF(AJ84&gt;1,N84&amp;": "&amp;INDEX(N84:P84,AJ84),"")</f>
        <v>1 Putze, Mörtel, Estriche DIN4108-4 Tab1: 1.3.2  Zement-Estrich  [1,4]</v>
      </c>
      <c r="F84" s="1219"/>
      <c r="G84" s="1220"/>
      <c r="H84" s="534">
        <f ca="1">CHOOSE(AK84,0,
VLOOKUP(P84,OFFSET(INDIRECT("Tabellen!"&amp;AG84),0,0,,2),2,FALSE),
VLOOKUP(P84,OFFSET(INDIRECT("Tabellen!"&amp;AG84),0,0,,3),3,FALSE),
VLOOKUP(P84,OFFSET(INDIRECT("Tabellen!"&amp;AG84),0,0,,3),3,FALSE),
RechLuftschichtRuhend(B84,MATCH(Bauteile!O84,Tabellen!$W$5:$W$12,0)),
VLOOKUP(O84,OFFSET(INDIRECT("Tabellen!"&amp;AF84),0,0,,7),7,FALSE))</f>
        <v>1.4</v>
      </c>
      <c r="I84" s="316">
        <f ca="1">IF(C84="keilförmig","siehe unten",IF(H84&gt;0,B84/1000/H84,0))</f>
        <v>2.8571428571428574E-2</v>
      </c>
      <c r="J84" s="304" t="str">
        <f>IF(AND(C84="keilförmig",(C97+D97&gt;0)),"keilförmig nur homogen",
IF(AND(C83="",C84&lt;&gt;"",B84&lt;&gt;B85),"Dicke " &amp; C84 &amp; " &lt;&gt; Dicke "&amp; C85,
IF(AND(C83&lt;&gt;"",C84&lt;&gt;"",RIGHT(C83,1)&lt;&gt;RIGHT(C84,1),B84&lt;&gt;B85),"Dicke " &amp; C84 &amp; " &lt;&gt; Dicke "&amp; C85,
IF(COUNTIF(b01_x,"=a1")&gt;1,"a1 nur einmal",
IF(COUNTIF(b01_x,"=b1")&gt;1,"b1 nur einmal",
IF(COUNTIF(b01_x,"=a2")&gt;1,"a2 nur einmal",
IF(COUNTIF(b01_x,"=b2")&gt;1,"b2 nur einmal","")))))))</f>
        <v/>
      </c>
      <c r="M84" s="490" t="str">
        <f>IF(C84="keilförmig",IF(H84&gt;0,B84/1000/H84,0),"")</f>
        <v/>
      </c>
      <c r="N84" s="549" t="s">
        <v>2421</v>
      </c>
      <c r="O84" s="550" t="s">
        <v>1346</v>
      </c>
      <c r="P84" s="551" t="s">
        <v>2524</v>
      </c>
      <c r="R84" s="318"/>
      <c r="S84" s="1168" t="str">
        <f>IF(AND(C84&lt;&gt;"keilförmig",C84&lt;&gt;""),VALUE(RIGHT(C84,1)),"")</f>
        <v/>
      </c>
      <c r="T84" s="404">
        <f ca="1">IFERROR(IF($H84=0,0,IF(OR($C84=0,LEFT($C84,1)="G"),$B84/1000/$H84,0)),0)</f>
        <v>2.8571428571428574E-2</v>
      </c>
      <c r="U84" s="404">
        <f ca="1">IFERROR(IF($H84=0,0,IF($C84="H"&amp;U$103,$B84/1000/$H84,IF($C84="G"&amp;U$103,0,$T84))),0)</f>
        <v>2.8571428571428574E-2</v>
      </c>
      <c r="V84" s="404">
        <f ca="1">IFERROR(IF($H84=0,0,IF($C84="H"&amp;V$103,$B84/1000/$H84,IF($C84="G"&amp;V$103,0,$T84))),0)</f>
        <v>2.8571428571428574E-2</v>
      </c>
      <c r="X84" s="319">
        <f ca="1">IFERROR(IF(T84&gt;0,$H84,0)*T82,0)</f>
        <v>1.4</v>
      </c>
      <c r="Y84" s="319">
        <f ca="1">IFERROR(IF(LEFT($C84,1)="H",0,IF(U84&gt;0,$H84,IF($H84=0,0,VLOOKUP("H"&amp;Y83,$C84:$H95,6))))*U$104,0)</f>
        <v>0.13439999999999999</v>
      </c>
      <c r="Z84" s="319">
        <f ca="1">IFERROR(IF(LEFT($C84,1)="H",0,IF(V84&gt;0,$H84,IF($H84=0,0,VLOOKUP("H"&amp;Z$105,$C84:$H95,6))))*V82,0)</f>
        <v>0</v>
      </c>
      <c r="AA84" s="404">
        <f ca="1">IFERROR($B84/1000/SUM(X84:Z84),0)</f>
        <v>2.6068821689259645E-2</v>
      </c>
      <c r="AB84" s="299"/>
      <c r="AC84" s="19"/>
      <c r="AD84" s="19"/>
      <c r="AE84" s="286" t="str">
        <f>AdresseBezug(Tabellen!$O$5:$O$14)</f>
        <v>O5:O14</v>
      </c>
      <c r="AF84" s="286" t="str">
        <f>VLOOKUP(N84,Tabellen!$O$5:$R$57,3,FALSE)</f>
        <v>X60:X62</v>
      </c>
      <c r="AG84" s="286" t="str">
        <f t="shared" ref="AG84:AG95" ca="1" si="26">VLOOKUP(O84,OFFSET(INDIRECT("Tabellen!"&amp;AF84),0,0,,2),2,FALSE)</f>
        <v>q82:q86</v>
      </c>
      <c r="AH84" s="288" t="b">
        <f t="shared" ref="AH84:AH95" ca="1" si="27">ISERROR(VLOOKUP(O84,INDIRECT("Tabellen!"&amp;AF84),1,FALSE))</f>
        <v>0</v>
      </c>
      <c r="AI84" s="288" t="b">
        <f t="shared" ref="AI84:AI95" ca="1" si="28">ISERROR(VLOOKUP(P84,INDIRECT("Tabellen!"&amp;AG84),1,FALSE))</f>
        <v>0</v>
      </c>
      <c r="AJ84" s="287">
        <f>IF(ISERROR(VLOOKUP(N84,Tabellen!$O$5:$R$58,4,FALSE)),1,VLOOKUP(N84,Tabellen!$O$5:$R$58,4,FALSE))</f>
        <v>3</v>
      </c>
      <c r="AK84" s="287">
        <f>IF(ISERROR(VLOOKUP(N84,Tabellen!$O$5:$S$58,5,FALSE)),1,VLOOKUP(N84,Tabellen!$O$5:$S$58,5,FALSE))</f>
        <v>2</v>
      </c>
    </row>
    <row r="85" spans="1:39" ht="24" thickTop="1" thickBot="1">
      <c r="A85" s="285">
        <v>2</v>
      </c>
      <c r="B85" s="542">
        <v>40</v>
      </c>
      <c r="C85" s="736"/>
      <c r="D85" s="543"/>
      <c r="E85" s="1219" t="str">
        <f t="shared" si="25"/>
        <v>5 Wärmedämmstoffe DIN4108-4 Tab2: 5.2 Expand. Polystyrols. (EPS) [0,04] (Expandierter Polystyrolschaum)</v>
      </c>
      <c r="F85" s="1219"/>
      <c r="G85" s="1220"/>
      <c r="H85" s="534">
        <f ca="1">CHOOSE(AK85,0,
VLOOKUP(P85,OFFSET(INDIRECT("Tabellen!"&amp;AG85),0,0,,2),2,FALSE),
VLOOKUP(P85,OFFSET(INDIRECT("Tabellen!"&amp;AG85),0,0,,3),3,FALSE),
VLOOKUP(P85,OFFSET(INDIRECT("Tabellen!"&amp;AG85),0,0,,3),3,FALSE),
RechLuftschichtRuhend(B85,MATCH(Bauteile!O85,Tabellen!$W$5:$W$12,0)),
VLOOKUP(O85,OFFSET(INDIRECT("Tabellen!"&amp;AF85),0,0,,7),7,FALSE))</f>
        <v>4.0000000000000008E-2</v>
      </c>
      <c r="I85" s="316">
        <f t="shared" ref="I85:I95" ca="1" si="29">IF(C85="keilförmig","siehe unten",IF(H85&gt;0,B85/1000/H85,0))</f>
        <v>0.99999999999999978</v>
      </c>
      <c r="J85" s="304" t="str">
        <f>IF(AND(C85="keilförmig",(C97+D97&gt;0)),"keilförmig nur homogen",
IF(AND(C84="",C85&lt;&gt;"",B85&lt;&gt;B86),"Dicke " &amp; C85 &amp; " &lt;&gt; Dicke "&amp; C86,
IF(AND(C84&lt;&gt;"",C85&lt;&gt;"",RIGHT(C84,1)&lt;&gt;RIGHT(C85,1),B85&lt;&gt;B86),"Dicke " &amp; C85 &amp; " &lt;&gt; Dicke "&amp; C86,
IF(COUNTIF(b01_x,"=a1")&gt;1,"a1 nur einmal",
IF(COUNTIF(b01_x,"=b1")&gt;1,"b1 nur einmal",
IF(COUNTIF(b01_x,"=a2")&gt;1,"a2 nur einmal",
IF(COUNTIF(b01_x,"=b2")&gt;1,"b2 nur einmal","")))))))</f>
        <v/>
      </c>
      <c r="M85" s="490" t="str">
        <f t="shared" ref="M85:M95" si="30">IF(C85="keilförmig",IF(H85&gt;0,B85/1000/H85,0),"")</f>
        <v/>
      </c>
      <c r="N85" s="546" t="s">
        <v>2419</v>
      </c>
      <c r="O85" s="547" t="s">
        <v>1465</v>
      </c>
      <c r="P85" s="548" t="s">
        <v>2525</v>
      </c>
      <c r="R85" s="318"/>
      <c r="S85" s="1168" t="str">
        <f t="shared" ref="S85:S95" si="31">IF(AND(C85&lt;&gt;"keilförmig",C85&lt;&gt;""),VALUE(RIGHT(C85,1)),"")</f>
        <v/>
      </c>
      <c r="T85" s="404">
        <f ca="1">IFERROR(IF($H85=0,0,IF(OR($C85=0,LEFT($C85,1)="G"),$B85/1000/$H85,0)),0)</f>
        <v>0.99999999999999978</v>
      </c>
      <c r="U85" s="404">
        <f t="shared" ref="U85:V95" ca="1" si="32">IFERROR(IF($H85=0,0,IF($C85="H"&amp;U$103,$B85/1000/$H85,IF($C85="G"&amp;U$103,0,$T85))),0)</f>
        <v>0.99999999999999978</v>
      </c>
      <c r="V85" s="404">
        <f t="shared" ca="1" si="32"/>
        <v>0.99999999999999978</v>
      </c>
      <c r="X85" s="319">
        <f ca="1">IFERROR(IF(T85&gt;0,$H85,0)*T82,0)</f>
        <v>4.0000000000000008E-2</v>
      </c>
      <c r="Y85" s="319">
        <f ca="1">IFERROR(IF(LEFT($C85,1)="H",0,IF(U85&gt;0,$H85,IF($H85=0,0,VLOOKUP("H"&amp;Y83,$C84:$H95,6))))*U$104,0)</f>
        <v>3.840000000000001E-3</v>
      </c>
      <c r="Z85" s="319">
        <f ca="1">IFERROR(IF(LEFT($C85,1)="H",0,IF(V85&gt;0,$H85,IF($H85=0,0,VLOOKUP("H"&amp;Z$105,$C84:$H95,6))))*V82,0)</f>
        <v>0</v>
      </c>
      <c r="AA85" s="404">
        <f t="shared" ref="AA85:AA95" ca="1" si="33">IFERROR($B85/1000/SUM(X85:Z85),0)</f>
        <v>0.91240875912408737</v>
      </c>
      <c r="AB85" s="299"/>
      <c r="AC85" s="19"/>
      <c r="AD85" s="19"/>
      <c r="AE85" s="286" t="str">
        <f>AdresseBezug(Tabellen!$O$5:$O$14)</f>
        <v>O5:O14</v>
      </c>
      <c r="AF85" s="286" t="str">
        <f>VLOOKUP(N85,Tabellen!$O$5:$R$57,3,FALSE)</f>
        <v>X468:X481</v>
      </c>
      <c r="AG85" s="286" t="str">
        <f t="shared" ca="1" si="26"/>
        <v>p489:p509</v>
      </c>
      <c r="AH85" s="288" t="b">
        <f t="shared" ca="1" si="27"/>
        <v>0</v>
      </c>
      <c r="AI85" s="288" t="b">
        <f t="shared" ca="1" si="28"/>
        <v>0</v>
      </c>
      <c r="AJ85" s="287">
        <f>IF(ISERROR(VLOOKUP(N85,Tabellen!$O$5:$R$58,4,FALSE)),1,VLOOKUP(N85,Tabellen!$O$5:$R$58,4,FALSE))</f>
        <v>3</v>
      </c>
      <c r="AK85" s="287">
        <f>IF(ISERROR(VLOOKUP(N85,Tabellen!$O$5:$S$58,5,FALSE)),1,VLOOKUP(N85,Tabellen!$O$5:$S$58,5,FALSE))</f>
        <v>3</v>
      </c>
    </row>
    <row r="86" spans="1:39" ht="24" thickTop="1" thickBot="1">
      <c r="A86" s="285">
        <v>3</v>
      </c>
      <c r="B86" s="542">
        <v>80</v>
      </c>
      <c r="C86" s="736"/>
      <c r="D86" s="543"/>
      <c r="E86" s="1219" t="str">
        <f t="shared" si="25"/>
        <v>5 Wärmedämmstoffe DIN4108-4 Tab2: 5.2 Expand. Polystyrols. (EPS) [0,035] (Expandierter Polystyrolschaum)</v>
      </c>
      <c r="F86" s="1219"/>
      <c r="G86" s="1220"/>
      <c r="H86" s="534">
        <f ca="1">CHOOSE(AK86,0,
VLOOKUP(P86,OFFSET(INDIRECT("Tabellen!"&amp;AG86),0,0,,2),2,FALSE),
VLOOKUP(P86,OFFSET(INDIRECT("Tabellen!"&amp;AG86),0,0,,3),3,FALSE),
VLOOKUP(P86,OFFSET(INDIRECT("Tabellen!"&amp;AG86),0,0,,3),3,FALSE),
RechLuftschichtRuhend(B86,MATCH(Bauteile!O86,Tabellen!$W$5:$W$12,0)),
VLOOKUP(O86,OFFSET(INDIRECT("Tabellen!"&amp;AF86),0,0,,7),7,FALSE))</f>
        <v>3.5000000000000003E-2</v>
      </c>
      <c r="I86" s="316">
        <f t="shared" ca="1" si="29"/>
        <v>2.2857142857142856</v>
      </c>
      <c r="J86" s="304" t="str">
        <f>IF(AND(C86="keilförmig",(C97+D97&gt;0)),"keilförmig nur homogen",
IF(AND(C85="",C86&lt;&gt;"",B86&lt;&gt;B87),"Dicke " &amp; C86 &amp; " &lt;&gt; Dicke "&amp; C87,
IF(AND(C85&lt;&gt;"",C86&lt;&gt;"",RIGHT(C85,1)&lt;&gt;RIGHT(C86,1),B86&lt;&gt;B87),"Dicke " &amp; C86 &amp; " &lt;&gt; Dicke "&amp; C87,
IF(COUNTIF(b01_x,"=a1")&gt;1,"a1 nur einmal",
IF(COUNTIF(b01_x,"=b1")&gt;1,"b1 nur einmal",
IF(COUNTIF(b01_x,"=a2")&gt;1,"a2 nur einmal",
IF(COUNTIF(b01_x,"=b2")&gt;1,"b2 nur einmal","")))))))</f>
        <v/>
      </c>
      <c r="M86" s="490" t="str">
        <f t="shared" si="30"/>
        <v/>
      </c>
      <c r="N86" s="546" t="s">
        <v>2419</v>
      </c>
      <c r="O86" s="547" t="s">
        <v>1465</v>
      </c>
      <c r="P86" s="548" t="s">
        <v>2522</v>
      </c>
      <c r="R86" s="318"/>
      <c r="S86" s="1168" t="str">
        <f t="shared" si="31"/>
        <v/>
      </c>
      <c r="T86" s="404">
        <f t="shared" ref="T86:T95" ca="1" si="34">IFERROR(IF($H86=0,0,IF(OR($C86=0,LEFT($C86,1)="G"),$B86/1000/$H86,0)),0)</f>
        <v>2.2857142857142856</v>
      </c>
      <c r="U86" s="404">
        <f t="shared" ca="1" si="32"/>
        <v>2.2857142857142856</v>
      </c>
      <c r="V86" s="404">
        <f t="shared" ca="1" si="32"/>
        <v>2.2857142857142856</v>
      </c>
      <c r="X86" s="319">
        <f ca="1">IFERROR(IF(T86&gt;0,$H86,0)*T82,0)</f>
        <v>3.5000000000000003E-2</v>
      </c>
      <c r="Y86" s="319">
        <f ca="1">IFERROR(IF(LEFT($C86,1)="H",0,IF(U86&gt;0,$H86,IF($H86=0,0,VLOOKUP("H"&amp;Y83,$C84:$H95,6))))*U$104,0)</f>
        <v>3.3600000000000006E-3</v>
      </c>
      <c r="Z86" s="319">
        <f ca="1">IFERROR(IF(LEFT($C86,1)="H",0,IF(V86&gt;0,$H86,IF($H86=0,0,VLOOKUP("H"&amp;Z$105,$C84:$H95,6))))*V82,0)</f>
        <v>0</v>
      </c>
      <c r="AA86" s="404">
        <f t="shared" ca="1" si="33"/>
        <v>2.0855057351407713</v>
      </c>
      <c r="AB86" s="300"/>
      <c r="AC86" s="19"/>
      <c r="AD86" s="19"/>
      <c r="AE86" s="286" t="str">
        <f>AdresseBezug(Tabellen!$O$5:$O$14)</f>
        <v>O5:O14</v>
      </c>
      <c r="AF86" s="286" t="str">
        <f>VLOOKUP(N86,Tabellen!$O$5:$R$57,3,FALSE)</f>
        <v>X468:X481</v>
      </c>
      <c r="AG86" s="286" t="str">
        <f t="shared" ca="1" si="26"/>
        <v>p489:p509</v>
      </c>
      <c r="AH86" s="288" t="b">
        <f t="shared" ca="1" si="27"/>
        <v>0</v>
      </c>
      <c r="AI86" s="288" t="b">
        <f t="shared" ca="1" si="28"/>
        <v>0</v>
      </c>
      <c r="AJ86" s="287">
        <f>IF(ISERROR(VLOOKUP(N86,Tabellen!$O$5:$R$58,4,FALSE)),1,VLOOKUP(N86,Tabellen!$O$5:$R$58,4,FALSE))</f>
        <v>3</v>
      </c>
      <c r="AK86" s="287">
        <f>IF(ISERROR(VLOOKUP(N86,Tabellen!$O$5:$S$58,5,FALSE)),1,VLOOKUP(N86,Tabellen!$O$5:$S$58,5,FALSE))</f>
        <v>3</v>
      </c>
    </row>
    <row r="87" spans="1:39" ht="24" thickTop="1" thickBot="1">
      <c r="A87" s="285">
        <v>4</v>
      </c>
      <c r="B87" s="542">
        <v>200</v>
      </c>
      <c r="C87" s="736"/>
      <c r="D87" s="543"/>
      <c r="E87" s="1219" t="str">
        <f t="shared" si="25"/>
        <v>ISO10456 Tab3: 3.5 Beton armiert (mit 1 % Stahl) - rho 2300 [2,3]</v>
      </c>
      <c r="F87" s="1219"/>
      <c r="G87" s="1220"/>
      <c r="H87" s="534">
        <f ca="1">CHOOSE(AK87,0,
VLOOKUP(P87,OFFSET(INDIRECT("Tabellen!"&amp;AG87),0,0,,2),2,FALSE),
VLOOKUP(P87,OFFSET(INDIRECT("Tabellen!"&amp;AG87),0,0,,3),3,FALSE),
VLOOKUP(P87,OFFSET(INDIRECT("Tabellen!"&amp;AG87),0,0,,3),3,FALSE),
RechLuftschichtRuhend(B87,MATCH(Bauteile!O87,Tabellen!$W$5:$W$12,0)),
VLOOKUP(O87,OFFSET(INDIRECT("Tabellen!"&amp;AF87),0,0,,7),7,FALSE))</f>
        <v>2.2999999999999998</v>
      </c>
      <c r="I87" s="316">
        <f t="shared" ca="1" si="29"/>
        <v>8.6956521739130446E-2</v>
      </c>
      <c r="J87" s="304" t="str">
        <f>IF(AND(C87="keilförmig",(C97+D97&gt;0)),"keilförmig nur homogen",
IF(AND(C86="",C87&lt;&gt;"",B87&lt;&gt;B88),"Dicke " &amp; C87 &amp; " &lt;&gt; Dicke "&amp; C88,
IF(AND(C86&lt;&gt;"",C87&lt;&gt;"",RIGHT(C86,1)&lt;&gt;RIGHT(C87,1),B87&lt;&gt;B88),"Dicke " &amp; C87 &amp; " &lt;&gt; Dicke "&amp; C88,
IF(COUNTIF(b01_x,"=a1")&gt;1,"a1 nur einmal",
IF(COUNTIF(b01_x,"=b1")&gt;1,"b1 nur einmal",
IF(COUNTIF(b01_x,"=a2")&gt;1,"a2 nur einmal",
IF(COUNTIF(b01_x,"=b2")&gt;1,"b2 nur einmal","")))))))</f>
        <v/>
      </c>
      <c r="M87" s="490" t="str">
        <f t="shared" si="30"/>
        <v/>
      </c>
      <c r="N87" s="549" t="s">
        <v>1663</v>
      </c>
      <c r="O87" s="550" t="s">
        <v>1206</v>
      </c>
      <c r="P87" s="551" t="s">
        <v>2526</v>
      </c>
      <c r="R87" s="318"/>
      <c r="S87" s="1168" t="str">
        <f t="shared" si="31"/>
        <v/>
      </c>
      <c r="T87" s="404">
        <f t="shared" ca="1" si="34"/>
        <v>8.6956521739130446E-2</v>
      </c>
      <c r="U87" s="404">
        <f t="shared" ca="1" si="32"/>
        <v>8.6956521739130446E-2</v>
      </c>
      <c r="V87" s="404">
        <f t="shared" ca="1" si="32"/>
        <v>8.6956521739130446E-2</v>
      </c>
      <c r="X87" s="319">
        <f ca="1">IFERROR(IF(T87&gt;0,$H87,0)*T82,0)</f>
        <v>2.2999999999999998</v>
      </c>
      <c r="Y87" s="319">
        <f ca="1">IFERROR(IF(LEFT($C87,1)="H",0,IF(U87&gt;0,$H87,IF($H87=0,0,VLOOKUP("H"&amp;Y83,$C84:$H95,6))))*U$104,0)</f>
        <v>0.2208</v>
      </c>
      <c r="Z87" s="319">
        <f ca="1">IFERROR(IF(LEFT($C87,1)="H",0,IF(V87&gt;0,$H87,IF($H87=0,0,VLOOKUP("H"&amp;Z$105,$C84:$H95,6))))*V82,0)</f>
        <v>0</v>
      </c>
      <c r="AA87" s="404">
        <f t="shared" ca="1" si="33"/>
        <v>7.933989209774675E-2</v>
      </c>
      <c r="AB87" s="300"/>
      <c r="AC87" s="19"/>
      <c r="AD87" s="19"/>
      <c r="AE87" s="286" t="str">
        <f>AdresseBezug(Tabellen!$O$5:$O$14)</f>
        <v>O5:O14</v>
      </c>
      <c r="AF87" s="286" t="str">
        <f>VLOOKUP(N87,Tabellen!$O$5:$R$57,3,FALSE)</f>
        <v>X786:X804</v>
      </c>
      <c r="AG87" s="286" t="str">
        <f t="shared" ca="1" si="26"/>
        <v>p789:p794</v>
      </c>
      <c r="AH87" s="288" t="b">
        <f t="shared" ca="1" si="27"/>
        <v>0</v>
      </c>
      <c r="AI87" s="288" t="b">
        <f t="shared" ca="1" si="28"/>
        <v>0</v>
      </c>
      <c r="AJ87" s="287">
        <f>IF(ISERROR(VLOOKUP(N87,Tabellen!$O$5:$R$58,4,FALSE)),1,VLOOKUP(N87,Tabellen!$O$5:$R$58,4,FALSE))</f>
        <v>3</v>
      </c>
      <c r="AK87" s="287">
        <f>IF(ISERROR(VLOOKUP(N87,Tabellen!$O$5:$S$58,5,FALSE)),1,VLOOKUP(N87,Tabellen!$O$5:$S$58,5,FALSE))</f>
        <v>4</v>
      </c>
    </row>
    <row r="88" spans="1:39" ht="15" thickTop="1" thickBot="1">
      <c r="A88" s="285">
        <v>5</v>
      </c>
      <c r="B88" s="542"/>
      <c r="C88" s="736"/>
      <c r="D88" s="543"/>
      <c r="E88" s="1219" t="str">
        <f t="shared" si="25"/>
        <v/>
      </c>
      <c r="F88" s="1219"/>
      <c r="G88" s="1220"/>
      <c r="H88" s="534">
        <f ca="1">CHOOSE(AK88,0,
VLOOKUP(P88,OFFSET(INDIRECT("Tabellen!"&amp;AG88),0,0,,2),2,FALSE),
VLOOKUP(P88,OFFSET(INDIRECT("Tabellen!"&amp;AG88),0,0,,3),3,FALSE),
VLOOKUP(P88,OFFSET(INDIRECT("Tabellen!"&amp;AG88),0,0,,3),3,FALSE),
RechLuftschichtRuhend(B88,MATCH(Bauteile!O88,Tabellen!$W$5:$W$12,0)),
VLOOKUP(O88,OFFSET(INDIRECT("Tabellen!"&amp;AF88),0,0,,7),7,FALSE))</f>
        <v>0</v>
      </c>
      <c r="I88" s="316">
        <f t="shared" ca="1" si="29"/>
        <v>0</v>
      </c>
      <c r="J88" s="304" t="str">
        <f>IF(AND(C88="keilförmig",(C97+D97&gt;0)),"keilförmig nur homogen",
IF(AND(C87="",C88&lt;&gt;"",B88&lt;&gt;B89),"Dicke " &amp; C88 &amp; " &lt;&gt; Dicke "&amp; C89,
IF(AND(C87&lt;&gt;"",C88&lt;&gt;"",RIGHT(C87,1)&lt;&gt;RIGHT(C88,1),B88&lt;&gt;B89),"Dicke " &amp; C88 &amp; " &lt;&gt; Dicke "&amp; C89,
IF(COUNTIF(b01_x,"=a1")&gt;1,"a1 nur einmal",
IF(COUNTIF(b01_x,"=b1")&gt;1,"b1 nur einmal",
IF(COUNTIF(b01_x,"=a2")&gt;1,"a2 nur einmal",
IF(COUNTIF(b01_x,"=b2")&gt;1,"b2 nur einmal","")))))))</f>
        <v/>
      </c>
      <c r="M88" s="490" t="str">
        <f t="shared" si="30"/>
        <v/>
      </c>
      <c r="N88" s="549"/>
      <c r="O88" s="550"/>
      <c r="P88" s="551"/>
      <c r="R88" s="318"/>
      <c r="S88" s="1168" t="str">
        <f t="shared" si="31"/>
        <v/>
      </c>
      <c r="T88" s="404">
        <f t="shared" ca="1" si="34"/>
        <v>0</v>
      </c>
      <c r="U88" s="404">
        <f t="shared" ca="1" si="32"/>
        <v>0</v>
      </c>
      <c r="V88" s="404">
        <f t="shared" ca="1" si="32"/>
        <v>0</v>
      </c>
      <c r="X88" s="319">
        <f ca="1">IFERROR(IF(T88&gt;0,$H88,0)*T82,0)</f>
        <v>0</v>
      </c>
      <c r="Y88" s="319">
        <f ca="1">IFERROR(IF(LEFT($C88,1)="H",0,IF(U88&gt;0,$H88,IF($H88=0,0,VLOOKUP("H"&amp;Y83,$C84:$H95,6))))*U$104,0)</f>
        <v>0</v>
      </c>
      <c r="Z88" s="319">
        <f ca="1">IFERROR(IF(LEFT($C88,1)="H",0,IF(V88&gt;0,$H88,IF($H88=0,0,VLOOKUP("H"&amp;Z$105,$C84:$H95,6))))*V82,0)</f>
        <v>0</v>
      </c>
      <c r="AA88" s="404">
        <f t="shared" ca="1" si="33"/>
        <v>0</v>
      </c>
      <c r="AB88" s="299"/>
      <c r="AC88" s="19"/>
      <c r="AD88" s="19"/>
      <c r="AE88" s="286" t="str">
        <f>AdresseBezug(Tabellen!$O$5:$O$14)</f>
        <v>O5:O14</v>
      </c>
      <c r="AF88" s="286" t="e">
        <f>VLOOKUP(N88,Tabellen!$O$5:$R$57,3,FALSE)</f>
        <v>#N/A</v>
      </c>
      <c r="AG88" s="286" t="e">
        <f t="shared" ca="1" si="26"/>
        <v>#N/A</v>
      </c>
      <c r="AH88" s="288" t="b">
        <f t="shared" ca="1" si="27"/>
        <v>1</v>
      </c>
      <c r="AI88" s="288" t="b">
        <f t="shared" ca="1" si="28"/>
        <v>1</v>
      </c>
      <c r="AJ88" s="287">
        <f>IF(ISERROR(VLOOKUP(N88,Tabellen!$O$5:$R$58,4,FALSE)),1,VLOOKUP(N88,Tabellen!$O$5:$R$58,4,FALSE))</f>
        <v>1</v>
      </c>
      <c r="AK88" s="287">
        <f>IF(ISERROR(VLOOKUP(N88,Tabellen!$O$5:$S$58,5,FALSE)),1,VLOOKUP(N88,Tabellen!$O$5:$S$58,5,FALSE))</f>
        <v>1</v>
      </c>
    </row>
    <row r="89" spans="1:39" ht="15" thickTop="1" thickBot="1">
      <c r="A89" s="285">
        <v>6</v>
      </c>
      <c r="B89" s="542"/>
      <c r="C89" s="736"/>
      <c r="D89" s="543"/>
      <c r="E89" s="1219" t="str">
        <f t="shared" si="25"/>
        <v/>
      </c>
      <c r="F89" s="1219"/>
      <c r="G89" s="1220"/>
      <c r="H89" s="534">
        <f ca="1">CHOOSE(AK89,0,
VLOOKUP(P89,OFFSET(INDIRECT("Tabellen!"&amp;AG89),0,0,,2),2,FALSE),
VLOOKUP(P89,OFFSET(INDIRECT("Tabellen!"&amp;AG89),0,0,,3),3,FALSE),
VLOOKUP(P89,OFFSET(INDIRECT("Tabellen!"&amp;AG89),0,0,,3),3,FALSE),
RechLuftschichtRuhend(B89,MATCH(Bauteile!O89,Tabellen!$W$5:$W$12,0)),
VLOOKUP(O89,OFFSET(INDIRECT("Tabellen!"&amp;AF89),0,0,,7),7,FALSE))</f>
        <v>0</v>
      </c>
      <c r="I89" s="316">
        <f t="shared" ca="1" si="29"/>
        <v>0</v>
      </c>
      <c r="J89" s="304" t="str">
        <f>IF(AND(C89="keilförmig",(C97+D97&gt;0)),"keilförmig nur homogen",
IF(AND(C88="",C89&lt;&gt;"",B89&lt;&gt;B90),"Dicke " &amp; C89 &amp; " &lt;&gt; Dicke "&amp; C90,
IF(AND(C88&lt;&gt;"",C89&lt;&gt;"",RIGHT(C88,1)&lt;&gt;RIGHT(C89,1),B89&lt;&gt;B90),"Dicke " &amp; C89 &amp; " &lt;&gt; Dicke "&amp; C90,
IF(COUNTIF(b01_x,"=a1")&gt;1,"a1 nur einmal",
IF(COUNTIF(b01_x,"=b1")&gt;1,"b1 nur einmal",
IF(COUNTIF(b01_x,"=a2")&gt;1,"a2 nur einmal",
IF(COUNTIF(b01_x,"=b2")&gt;1,"b2 nur einmal","")))))))</f>
        <v/>
      </c>
      <c r="M89" s="490" t="str">
        <f t="shared" si="30"/>
        <v/>
      </c>
      <c r="N89" s="549"/>
      <c r="O89" s="550"/>
      <c r="P89" s="551"/>
      <c r="R89" s="318"/>
      <c r="S89" s="1168" t="str">
        <f t="shared" si="31"/>
        <v/>
      </c>
      <c r="T89" s="404">
        <f t="shared" ca="1" si="34"/>
        <v>0</v>
      </c>
      <c r="U89" s="404">
        <f t="shared" ca="1" si="32"/>
        <v>0</v>
      </c>
      <c r="V89" s="404">
        <f t="shared" ca="1" si="32"/>
        <v>0</v>
      </c>
      <c r="X89" s="319">
        <f ca="1">IFERROR(IF(T89&gt;0,$H89,0)*T82,0)</f>
        <v>0</v>
      </c>
      <c r="Y89" s="319">
        <f ca="1">IFERROR(IF(LEFT($C89,1)="H",0,IF(U89&gt;0,$H89,IF($H89=0,0,VLOOKUP("H"&amp;Y83,$C84:$H95,6))))*U$104,0)</f>
        <v>0</v>
      </c>
      <c r="Z89" s="319">
        <f ca="1">IFERROR(IF(LEFT($C89,1)="H",0,IF(V89&gt;0,$H89,IF($H89=0,0,VLOOKUP("H"&amp;Z$105,$C84:$H95,6))))*V82,0)</f>
        <v>0</v>
      </c>
      <c r="AA89" s="404">
        <f t="shared" ca="1" si="33"/>
        <v>0</v>
      </c>
      <c r="AB89" s="299"/>
      <c r="AC89" s="19"/>
      <c r="AD89" s="19"/>
      <c r="AE89" s="286" t="str">
        <f>AdresseBezug(Tabellen!$O$5:$O$14)</f>
        <v>O5:O14</v>
      </c>
      <c r="AF89" s="286" t="e">
        <f>VLOOKUP(N89,Tabellen!$O$5:$R$57,3,FALSE)</f>
        <v>#N/A</v>
      </c>
      <c r="AG89" s="286" t="e">
        <f t="shared" ca="1" si="26"/>
        <v>#N/A</v>
      </c>
      <c r="AH89" s="288" t="b">
        <f t="shared" ca="1" si="27"/>
        <v>1</v>
      </c>
      <c r="AI89" s="288" t="b">
        <f t="shared" ca="1" si="28"/>
        <v>1</v>
      </c>
      <c r="AJ89" s="287">
        <f>IF(ISERROR(VLOOKUP(N89,Tabellen!$O$5:$R$58,4,FALSE)),1,VLOOKUP(N89,Tabellen!$O$5:$R$58,4,FALSE))</f>
        <v>1</v>
      </c>
      <c r="AK89" s="287">
        <f>IF(ISERROR(VLOOKUP(N89,Tabellen!$O$5:$S$58,5,FALSE)),1,VLOOKUP(N89,Tabellen!$O$5:$S$58,5,FALSE))</f>
        <v>1</v>
      </c>
    </row>
    <row r="90" spans="1:39" ht="15" thickTop="1" thickBot="1">
      <c r="A90" s="285">
        <v>7</v>
      </c>
      <c r="B90" s="542"/>
      <c r="C90" s="736"/>
      <c r="D90" s="543"/>
      <c r="E90" s="1219" t="str">
        <f t="shared" si="25"/>
        <v/>
      </c>
      <c r="F90" s="1219"/>
      <c r="G90" s="1220"/>
      <c r="H90" s="534">
        <f ca="1">CHOOSE(AK90,0,
VLOOKUP(P90,OFFSET(INDIRECT("Tabellen!"&amp;AG90),0,0,,2),2,FALSE),
VLOOKUP(P90,OFFSET(INDIRECT("Tabellen!"&amp;AG90),0,0,,3),3,FALSE),
VLOOKUP(P90,OFFSET(INDIRECT("Tabellen!"&amp;AG90),0,0,,3),3,FALSE),
RechLuftschichtRuhend(B90,MATCH(Bauteile!O90,Tabellen!$W$5:$W$12,0)),
VLOOKUP(O90,OFFSET(INDIRECT("Tabellen!"&amp;AF90),0,0,,7),7,FALSE))</f>
        <v>0</v>
      </c>
      <c r="I90" s="316">
        <f t="shared" ca="1" si="29"/>
        <v>0</v>
      </c>
      <c r="J90" s="304" t="str">
        <f>IF(AND(C90="keilförmig",(C97+D97&gt;0)),"keilförmig nur homogen",
IF(AND(C89="",C90&lt;&gt;"",B90&lt;&gt;B91),"Dicke " &amp; C90 &amp; " &lt;&gt; Dicke "&amp; C91,
IF(AND(C89&lt;&gt;"",C90&lt;&gt;"",RIGHT(C89,1)&lt;&gt;RIGHT(C90,1),B90&lt;&gt;B91),"Dicke " &amp; C90 &amp; " &lt;&gt; Dicke "&amp; C91,
IF(COUNTIF(b01_x,"=a1")&gt;1,"a1 nur einmal",
IF(COUNTIF(b01_x,"=b1")&gt;1,"b1 nur einmal",
IF(COUNTIF(b01_x,"=a2")&gt;1,"a2 nur einmal",
IF(COUNTIF(b01_x,"=b2")&gt;1,"b2 nur einmal","")))))))</f>
        <v/>
      </c>
      <c r="M90" s="490" t="str">
        <f t="shared" si="30"/>
        <v/>
      </c>
      <c r="N90" s="549"/>
      <c r="O90" s="550"/>
      <c r="P90" s="551"/>
      <c r="R90" s="318"/>
      <c r="S90" s="1168" t="str">
        <f t="shared" si="31"/>
        <v/>
      </c>
      <c r="T90" s="404">
        <f t="shared" ca="1" si="34"/>
        <v>0</v>
      </c>
      <c r="U90" s="404">
        <f t="shared" ca="1" si="32"/>
        <v>0</v>
      </c>
      <c r="V90" s="404">
        <f t="shared" ca="1" si="32"/>
        <v>0</v>
      </c>
      <c r="X90" s="319">
        <f ca="1">IFERROR(IF(T90&gt;0,$H90,0)*T82,0)</f>
        <v>0</v>
      </c>
      <c r="Y90" s="319">
        <f ca="1">IFERROR(IF(LEFT($C90,1)="H",0,IF(U90&gt;0,$H90,IF($H90=0,0,VLOOKUP("H"&amp;Y83,$C84:$H95,6))))*U$104,0)</f>
        <v>0</v>
      </c>
      <c r="Z90" s="319">
        <f ca="1">IFERROR(IF(LEFT($C90,1)="H",0,IF(V90&gt;0,$H90,IF($H90=0,0,VLOOKUP("H"&amp;Z$105,$C84:$H95,6))))*V82,0)</f>
        <v>0</v>
      </c>
      <c r="AA90" s="404">
        <f t="shared" ca="1" si="33"/>
        <v>0</v>
      </c>
      <c r="AB90" s="299"/>
      <c r="AC90" s="19"/>
      <c r="AD90" s="19"/>
      <c r="AE90" s="286" t="str">
        <f>AdresseBezug(Tabellen!$O$5:$O$14)</f>
        <v>O5:O14</v>
      </c>
      <c r="AF90" s="286" t="e">
        <f>VLOOKUP(N90,Tabellen!$O$5:$R$57,3,FALSE)</f>
        <v>#N/A</v>
      </c>
      <c r="AG90" s="286" t="e">
        <f t="shared" ca="1" si="26"/>
        <v>#N/A</v>
      </c>
      <c r="AH90" s="288" t="b">
        <f t="shared" ca="1" si="27"/>
        <v>1</v>
      </c>
      <c r="AI90" s="288" t="b">
        <f t="shared" ca="1" si="28"/>
        <v>1</v>
      </c>
      <c r="AJ90" s="287">
        <f>IF(ISERROR(VLOOKUP(N90,Tabellen!$O$5:$R$58,4,FALSE)),1,VLOOKUP(N90,Tabellen!$O$5:$R$58,4,FALSE))</f>
        <v>1</v>
      </c>
      <c r="AK90" s="287">
        <f>IF(ISERROR(VLOOKUP(N90,Tabellen!$O$5:$S$58,5,FALSE)),1,VLOOKUP(N90,Tabellen!$O$5:$S$58,5,FALSE))</f>
        <v>1</v>
      </c>
    </row>
    <row r="91" spans="1:39" ht="15" thickTop="1" thickBot="1">
      <c r="A91" s="285">
        <v>8</v>
      </c>
      <c r="B91" s="544"/>
      <c r="C91" s="736"/>
      <c r="D91" s="545"/>
      <c r="E91" s="1219" t="str">
        <f t="shared" si="25"/>
        <v/>
      </c>
      <c r="F91" s="1219"/>
      <c r="G91" s="1220"/>
      <c r="H91" s="534">
        <f ca="1">CHOOSE(AK91,0,
VLOOKUP(P91,OFFSET(INDIRECT("Tabellen!"&amp;AG91),0,0,,2),2,FALSE),
VLOOKUP(P91,OFFSET(INDIRECT("Tabellen!"&amp;AG91),0,0,,3),3,FALSE),
VLOOKUP(P91,OFFSET(INDIRECT("Tabellen!"&amp;AG91),0,0,,3),3,FALSE),
RechLuftschichtRuhend(B91,MATCH(Bauteile!O91,Tabellen!$W$5:$W$12,0)),
VLOOKUP(O91,OFFSET(INDIRECT("Tabellen!"&amp;AF91),0,0,,7),7,FALSE))</f>
        <v>0</v>
      </c>
      <c r="I91" s="316">
        <f t="shared" ca="1" si="29"/>
        <v>0</v>
      </c>
      <c r="J91" s="304" t="str">
        <f>IF(AND(C91="keilförmig",(C97+D97&gt;0)),"keilförmig nur homogen",
IF(AND(C90="",C91&lt;&gt;"",B91&lt;&gt;B92),"Dicke " &amp; C91 &amp; " &lt;&gt; Dicke "&amp; C92,
IF(AND(C90&lt;&gt;"",C91&lt;&gt;"",RIGHT(C90,1)&lt;&gt;RIGHT(C91,1),B91&lt;&gt;B92),"Dicke " &amp; C91 &amp; " &lt;&gt; Dicke "&amp; C92,
IF(COUNTIF(b01_x,"=a1")&gt;1,"a1 nur einmal",
IF(COUNTIF(b01_x,"=b1")&gt;1,"b1 nur einmal",
IF(COUNTIF(b01_x,"=a2")&gt;1,"a2 nur einmal",
IF(COUNTIF(b01_x,"=b2")&gt;1,"b2 nur einmal","")))))))</f>
        <v/>
      </c>
      <c r="M91" s="490" t="str">
        <f t="shared" si="30"/>
        <v/>
      </c>
      <c r="N91" s="552"/>
      <c r="O91" s="553"/>
      <c r="P91" s="554"/>
      <c r="R91" s="318"/>
      <c r="S91" s="1168" t="str">
        <f t="shared" si="31"/>
        <v/>
      </c>
      <c r="T91" s="404">
        <f t="shared" ca="1" si="34"/>
        <v>0</v>
      </c>
      <c r="U91" s="404">
        <f t="shared" ca="1" si="32"/>
        <v>0</v>
      </c>
      <c r="V91" s="404">
        <f t="shared" ca="1" si="32"/>
        <v>0</v>
      </c>
      <c r="X91" s="319">
        <f ca="1">IFERROR(IF(T91&gt;0,$H91,0)*T82,0)</f>
        <v>0</v>
      </c>
      <c r="Y91" s="319">
        <f ca="1">IFERROR(IF(LEFT($C91,1)="H",0,IF(U91&gt;0,$H91,IF($H91=0,0,VLOOKUP("H"&amp;Y83,$C84:$H95,6))))*U$104,0)</f>
        <v>0</v>
      </c>
      <c r="Z91" s="319">
        <f ca="1">IFERROR(IF(LEFT($C91,1)="H",0,IF(V91&gt;0,$H91,IF($H91=0,0,VLOOKUP("H"&amp;Z$105,$C84:$H95,6))))*V82,0)</f>
        <v>0</v>
      </c>
      <c r="AA91" s="404">
        <f t="shared" ca="1" si="33"/>
        <v>0</v>
      </c>
      <c r="AB91" s="299"/>
      <c r="AC91" s="19"/>
      <c r="AD91" s="19"/>
      <c r="AE91" s="286" t="str">
        <f>AdresseBezug(Tabellen!$O$5:$O$14)</f>
        <v>O5:O14</v>
      </c>
      <c r="AF91" s="286" t="e">
        <f>VLOOKUP(N91,Tabellen!$O$5:$R$57,3,FALSE)</f>
        <v>#N/A</v>
      </c>
      <c r="AG91" s="286" t="e">
        <f t="shared" ca="1" si="26"/>
        <v>#N/A</v>
      </c>
      <c r="AH91" s="288" t="b">
        <f t="shared" ca="1" si="27"/>
        <v>1</v>
      </c>
      <c r="AI91" s="288" t="b">
        <f t="shared" ca="1" si="28"/>
        <v>1</v>
      </c>
      <c r="AJ91" s="287">
        <f>IF(ISERROR(VLOOKUP(N91,Tabellen!$O$5:$R$58,4,FALSE)),1,VLOOKUP(N91,Tabellen!$O$5:$R$58,4,FALSE))</f>
        <v>1</v>
      </c>
      <c r="AK91" s="287">
        <f>IF(ISERROR(VLOOKUP(N91,Tabellen!$O$5:$S$58,5,FALSE)),1,VLOOKUP(N91,Tabellen!$O$5:$S$58,5,FALSE))</f>
        <v>1</v>
      </c>
    </row>
    <row r="92" spans="1:39" ht="15" thickTop="1" thickBot="1">
      <c r="A92" s="285">
        <v>9</v>
      </c>
      <c r="B92" s="544"/>
      <c r="C92" s="736"/>
      <c r="D92" s="545"/>
      <c r="E92" s="1219" t="str">
        <f t="shared" si="25"/>
        <v/>
      </c>
      <c r="F92" s="1219"/>
      <c r="G92" s="1220"/>
      <c r="H92" s="534">
        <f ca="1">CHOOSE(AK92,0,
VLOOKUP(P92,OFFSET(INDIRECT("Tabellen!"&amp;AG92),0,0,,2),2,FALSE),
VLOOKUP(P92,OFFSET(INDIRECT("Tabellen!"&amp;AG92),0,0,,3),3,FALSE),
VLOOKUP(P92,OFFSET(INDIRECT("Tabellen!"&amp;AG92),0,0,,3),3,FALSE),
RechLuftschichtRuhend(B92,MATCH(Bauteile!O92,Tabellen!$W$5:$W$12,0)),
VLOOKUP(O92,OFFSET(INDIRECT("Tabellen!"&amp;AF92),0,0,,7),7,FALSE))</f>
        <v>0</v>
      </c>
      <c r="I92" s="316">
        <f t="shared" ca="1" si="29"/>
        <v>0</v>
      </c>
      <c r="J92" s="304" t="str">
        <f>IF(AND(C92="keilförmig",(C97+D97&gt;0)),"keilförmig nur homogen",
IF(AND(C91="",C92&lt;&gt;"",B92&lt;&gt;B93),"Dicke " &amp; C92 &amp; " &lt;&gt; Dicke "&amp; C93,
IF(AND(C91&lt;&gt;"",C92&lt;&gt;"",RIGHT(C91,1)&lt;&gt;RIGHT(C92,1),B92&lt;&gt;B93),"Dicke " &amp; C92 &amp; " &lt;&gt; Dicke "&amp; C93,
IF(COUNTIF(b01_x,"=a1")&gt;1,"a1 nur einmal",
IF(COUNTIF(b01_x,"=b1")&gt;1,"b1 nur einmal",
IF(COUNTIF(b01_x,"=a2")&gt;1,"a2 nur einmal",
IF(COUNTIF(b01_x,"=b2")&gt;1,"b2 nur einmal","")))))))</f>
        <v/>
      </c>
      <c r="M92" s="490" t="str">
        <f t="shared" si="30"/>
        <v/>
      </c>
      <c r="N92" s="552"/>
      <c r="O92" s="553"/>
      <c r="P92" s="554"/>
      <c r="R92" s="318"/>
      <c r="S92" s="1168" t="str">
        <f t="shared" si="31"/>
        <v/>
      </c>
      <c r="T92" s="404">
        <f t="shared" ca="1" si="34"/>
        <v>0</v>
      </c>
      <c r="U92" s="404">
        <f t="shared" ca="1" si="32"/>
        <v>0</v>
      </c>
      <c r="V92" s="404">
        <f t="shared" ca="1" si="32"/>
        <v>0</v>
      </c>
      <c r="X92" s="319">
        <f ca="1">IFERROR(IF(T92&gt;0,$H92,0)*T82,0)</f>
        <v>0</v>
      </c>
      <c r="Y92" s="319">
        <f ca="1">IFERROR(IF(LEFT($C92,1)="H",0,IF(U92&gt;0,$H92,IF($H92=0,0,VLOOKUP("H"&amp;Y83,$C84:$H95,6))))*U$104,0)</f>
        <v>0</v>
      </c>
      <c r="Z92" s="319">
        <f ca="1">IFERROR(IF(LEFT($C92,1)="H",0,IF(V92&gt;0,$H92,IF($H92=0,0,VLOOKUP("H"&amp;Z$105,$C84:$H95,6))))*V82,0)</f>
        <v>0</v>
      </c>
      <c r="AA92" s="404">
        <f t="shared" ca="1" si="33"/>
        <v>0</v>
      </c>
      <c r="AB92" s="299"/>
      <c r="AC92" s="19"/>
      <c r="AD92" s="19"/>
      <c r="AE92" s="286" t="str">
        <f>AdresseBezug(Tabellen!$O$5:$O$14)</f>
        <v>O5:O14</v>
      </c>
      <c r="AF92" s="286" t="e">
        <f>VLOOKUP(N92,Tabellen!$O$5:$R$57,3,FALSE)</f>
        <v>#N/A</v>
      </c>
      <c r="AG92" s="286" t="e">
        <f t="shared" ca="1" si="26"/>
        <v>#N/A</v>
      </c>
      <c r="AH92" s="288" t="b">
        <f t="shared" ca="1" si="27"/>
        <v>1</v>
      </c>
      <c r="AI92" s="288" t="b">
        <f t="shared" ca="1" si="28"/>
        <v>1</v>
      </c>
      <c r="AJ92" s="287">
        <f>IF(ISERROR(VLOOKUP(N92,Tabellen!$O$5:$R$58,4,FALSE)),1,VLOOKUP(N92,Tabellen!$O$5:$R$58,4,FALSE))</f>
        <v>1</v>
      </c>
      <c r="AK92" s="287">
        <f>IF(ISERROR(VLOOKUP(N92,Tabellen!$O$5:$S$58,5,FALSE)),1,VLOOKUP(N92,Tabellen!$O$5:$S$58,5,FALSE))</f>
        <v>1</v>
      </c>
    </row>
    <row r="93" spans="1:39" ht="15" thickTop="1" thickBot="1">
      <c r="A93" s="285">
        <v>10</v>
      </c>
      <c r="B93" s="544"/>
      <c r="C93" s="736"/>
      <c r="D93" s="545"/>
      <c r="E93" s="1219" t="str">
        <f t="shared" si="25"/>
        <v/>
      </c>
      <c r="F93" s="1219"/>
      <c r="G93" s="1220"/>
      <c r="H93" s="534">
        <f ca="1">CHOOSE(AK93,0,
VLOOKUP(P93,OFFSET(INDIRECT("Tabellen!"&amp;AG93),0,0,,2),2,FALSE),
VLOOKUP(P93,OFFSET(INDIRECT("Tabellen!"&amp;AG93),0,0,,3),3,FALSE),
VLOOKUP(P93,OFFSET(INDIRECT("Tabellen!"&amp;AG93),0,0,,3),3,FALSE),
RechLuftschichtRuhend(B93,MATCH(Bauteile!O93,Tabellen!$W$5:$W$12,0)),
VLOOKUP(O93,OFFSET(INDIRECT("Tabellen!"&amp;AF93),0,0,,7),7,FALSE))</f>
        <v>0</v>
      </c>
      <c r="I93" s="316">
        <f t="shared" ca="1" si="29"/>
        <v>0</v>
      </c>
      <c r="J93" s="304" t="str">
        <f>IF(AND(C93="keilförmig",(C97+D97&gt;0)),"keilförmig nur homogen",
IF(AND(C92="",C93&lt;&gt;"",B93&lt;&gt;B94),"Dicke " &amp; C93 &amp; " &lt;&gt; Dicke "&amp; C94,
IF(AND(C92&lt;&gt;"",C93&lt;&gt;"",RIGHT(C92,1)&lt;&gt;RIGHT(C93,1),B93&lt;&gt;B94),"Dicke " &amp; C93 &amp; " &lt;&gt; Dicke "&amp; C94,
IF(COUNTIF(b01_x,"=a1")&gt;1,"a1 nur einmal",
IF(COUNTIF(b01_x,"=b1")&gt;1,"b1 nur einmal",
IF(COUNTIF(b01_x,"=a2")&gt;1,"a2 nur einmal",
IF(COUNTIF(b01_x,"=b2")&gt;1,"b2 nur einmal","")))))))</f>
        <v/>
      </c>
      <c r="M93" s="490" t="str">
        <f t="shared" si="30"/>
        <v/>
      </c>
      <c r="N93" s="552"/>
      <c r="O93" s="553"/>
      <c r="P93" s="554"/>
      <c r="R93" s="318"/>
      <c r="S93" s="1168" t="str">
        <f t="shared" si="31"/>
        <v/>
      </c>
      <c r="T93" s="404">
        <f t="shared" ca="1" si="34"/>
        <v>0</v>
      </c>
      <c r="U93" s="404">
        <f t="shared" ca="1" si="32"/>
        <v>0</v>
      </c>
      <c r="V93" s="404">
        <f t="shared" ca="1" si="32"/>
        <v>0</v>
      </c>
      <c r="X93" s="319">
        <f ca="1">IFERROR(IF(T93&gt;0,$H93,0)*T82,0)</f>
        <v>0</v>
      </c>
      <c r="Y93" s="319">
        <f ca="1">IFERROR(IF(LEFT($C93,1)="H",0,IF(U93&gt;0,$H93,IF($H93=0,0,VLOOKUP("H"&amp;Y83,$C84:$H95,6))))*U$104,0)</f>
        <v>0</v>
      </c>
      <c r="Z93" s="319">
        <f ca="1">IFERROR(IF(LEFT($C93,1)="H",0,IF(V93&gt;0,$H93,IF($H93=0,0,VLOOKUP("H"&amp;Z$105,$C84:$H95,6))))*V82,0)</f>
        <v>0</v>
      </c>
      <c r="AA93" s="404">
        <f t="shared" ca="1" si="33"/>
        <v>0</v>
      </c>
      <c r="AB93" s="299"/>
      <c r="AC93" s="19"/>
      <c r="AD93" s="19"/>
      <c r="AE93" s="286" t="str">
        <f>AdresseBezug(Tabellen!$O$5:$O$14)</f>
        <v>O5:O14</v>
      </c>
      <c r="AF93" s="286" t="e">
        <f>VLOOKUP(N93,Tabellen!$O$5:$R$57,3,FALSE)</f>
        <v>#N/A</v>
      </c>
      <c r="AG93" s="286" t="e">
        <f t="shared" ca="1" si="26"/>
        <v>#N/A</v>
      </c>
      <c r="AH93" s="288" t="b">
        <f t="shared" ca="1" si="27"/>
        <v>1</v>
      </c>
      <c r="AI93" s="288" t="b">
        <f t="shared" ca="1" si="28"/>
        <v>1</v>
      </c>
      <c r="AJ93" s="287">
        <f>IF(ISERROR(VLOOKUP(N93,Tabellen!$O$5:$R$58,4,FALSE)),1,VLOOKUP(N93,Tabellen!$O$5:$R$58,4,FALSE))</f>
        <v>1</v>
      </c>
      <c r="AK93" s="287">
        <f>IF(ISERROR(VLOOKUP(N93,Tabellen!$O$5:$S$58,5,FALSE)),1,VLOOKUP(N93,Tabellen!$O$5:$S$58,5,FALSE))</f>
        <v>1</v>
      </c>
    </row>
    <row r="94" spans="1:39" ht="15" thickTop="1" thickBot="1">
      <c r="A94" s="285">
        <v>11</v>
      </c>
      <c r="B94" s="544"/>
      <c r="C94" s="736"/>
      <c r="D94" s="545"/>
      <c r="E94" s="1219" t="str">
        <f t="shared" si="25"/>
        <v/>
      </c>
      <c r="F94" s="1219"/>
      <c r="G94" s="1220"/>
      <c r="H94" s="534">
        <f ca="1">CHOOSE(AK94,0,
VLOOKUP(P94,OFFSET(INDIRECT("Tabellen!"&amp;AG94),0,0,,2),2,FALSE),
VLOOKUP(P94,OFFSET(INDIRECT("Tabellen!"&amp;AG94),0,0,,3),3,FALSE),
VLOOKUP(P94,OFFSET(INDIRECT("Tabellen!"&amp;AG94),0,0,,3),3,FALSE),
RechLuftschichtRuhend(B94,MATCH(Bauteile!O94,Tabellen!$W$5:$W$12,0)),
VLOOKUP(O94,OFFSET(INDIRECT("Tabellen!"&amp;AF94),0,0,,7),7,FALSE))</f>
        <v>0</v>
      </c>
      <c r="I94" s="316">
        <f t="shared" ca="1" si="29"/>
        <v>0</v>
      </c>
      <c r="J94" s="304" t="str">
        <f>IF(AND(C94="keilförmig",(C97+D97&gt;0)),"keilförmig nur homogen",
IF(AND(C93="",C94&lt;&gt;"",B94&lt;&gt;B95),"Dicke " &amp; C94 &amp; " &lt;&gt; Dicke "&amp; C95,
IF(AND(C93&lt;&gt;"",C94&lt;&gt;"",RIGHT(C93,1)&lt;&gt;RIGHT(C94,1),B94&lt;&gt;B95),"Dicke " &amp; C94 &amp; " &lt;&gt; Dicke "&amp; C95,
IF(COUNTIF(b01_x,"=a1")&gt;1,"a1 nur einmal",
IF(COUNTIF(b01_x,"=b1")&gt;1,"b1 nur einmal",
IF(COUNTIF(b01_x,"=a2")&gt;1,"a2 nur einmal",
IF(COUNTIF(b01_x,"=b2")&gt;1,"b2 nur einmal","")))))))</f>
        <v/>
      </c>
      <c r="M94" s="490" t="str">
        <f t="shared" si="30"/>
        <v/>
      </c>
      <c r="N94" s="552"/>
      <c r="O94" s="553"/>
      <c r="P94" s="554"/>
      <c r="R94" s="318"/>
      <c r="S94" s="1168" t="str">
        <f t="shared" si="31"/>
        <v/>
      </c>
      <c r="T94" s="404">
        <f t="shared" ca="1" si="34"/>
        <v>0</v>
      </c>
      <c r="U94" s="404">
        <f t="shared" ca="1" si="32"/>
        <v>0</v>
      </c>
      <c r="V94" s="404">
        <f t="shared" ca="1" si="32"/>
        <v>0</v>
      </c>
      <c r="X94" s="319">
        <f ca="1">IFERROR(IF(T94&gt;0,$H94,0)*T82,0)</f>
        <v>0</v>
      </c>
      <c r="Y94" s="319">
        <f ca="1">IFERROR(IF(LEFT($C94,1)="H",0,IF(U94&gt;0,$H94,IF($H94=0,0,VLOOKUP("H"&amp;Y83,$C84:$H95,6))))*U$104,0)</f>
        <v>0</v>
      </c>
      <c r="Z94" s="319">
        <f ca="1">IFERROR(IF(LEFT($C94,1)="H",0,IF(V94&gt;0,$H94,IF($H94=0,0,VLOOKUP("H"&amp;Z$105,$C84:$H95,6))))*V82,0)</f>
        <v>0</v>
      </c>
      <c r="AA94" s="404">
        <f t="shared" ca="1" si="33"/>
        <v>0</v>
      </c>
      <c r="AB94" s="299"/>
      <c r="AC94" s="19"/>
      <c r="AD94" s="19"/>
      <c r="AE94" s="286" t="str">
        <f>AdresseBezug(Tabellen!$O$5:$O$14)</f>
        <v>O5:O14</v>
      </c>
      <c r="AF94" s="286" t="e">
        <f>VLOOKUP(N94,Tabellen!$O$5:$R$57,3,FALSE)</f>
        <v>#N/A</v>
      </c>
      <c r="AG94" s="286" t="e">
        <f t="shared" ca="1" si="26"/>
        <v>#N/A</v>
      </c>
      <c r="AH94" s="288" t="b">
        <f t="shared" ca="1" si="27"/>
        <v>1</v>
      </c>
      <c r="AI94" s="288" t="b">
        <f t="shared" ca="1" si="28"/>
        <v>1</v>
      </c>
      <c r="AJ94" s="287">
        <f>IF(ISERROR(VLOOKUP(N94,Tabellen!$O$5:$R$58,4,FALSE)),1,VLOOKUP(N94,Tabellen!$O$5:$R$58,4,FALSE))</f>
        <v>1</v>
      </c>
      <c r="AK94" s="287">
        <f>IF(ISERROR(VLOOKUP(N94,Tabellen!$O$5:$S$58,5,FALSE)),1,VLOOKUP(N94,Tabellen!$O$5:$S$58,5,FALSE))</f>
        <v>1</v>
      </c>
    </row>
    <row r="95" spans="1:39" ht="15" thickTop="1" thickBot="1">
      <c r="A95" s="285">
        <v>12</v>
      </c>
      <c r="B95" s="544"/>
      <c r="C95" s="736"/>
      <c r="D95" s="545"/>
      <c r="E95" s="302" t="str">
        <f t="shared" si="25"/>
        <v/>
      </c>
      <c r="F95" s="302"/>
      <c r="G95" s="303"/>
      <c r="H95" s="534">
        <f ca="1">CHOOSE(AK95,0,
VLOOKUP(P95,OFFSET(INDIRECT("Tabellen!"&amp;AG95),0,0,,2),2,FALSE),
VLOOKUP(P95,OFFSET(INDIRECT("Tabellen!"&amp;AG95),0,0,,3),3,FALSE),
VLOOKUP(P95,OFFSET(INDIRECT("Tabellen!"&amp;AG95),0,0,,3),3,FALSE),
RechLuftschichtRuhend(B95,MATCH(Bauteile!O95,Tabellen!$W$5:$W$12,0)),
VLOOKUP(O95,OFFSET(INDIRECT("Tabellen!"&amp;AF95),0,0,,7),7,FALSE))</f>
        <v>0</v>
      </c>
      <c r="I95" s="316">
        <f t="shared" ca="1" si="29"/>
        <v>0</v>
      </c>
      <c r="J95" s="304" t="str">
        <f>IF(AND(C95="keilförmig",(C97+D97&gt;0)),"keilförmig nur homogen",
IF(AND(C94="",C95&lt;&gt;"",B95&lt;&gt;B96),"Dicke " &amp; C95 &amp; " &lt;&gt; Dicke "&amp; C96,
IF(AND(C94&lt;&gt;"",C95&lt;&gt;"",RIGHT(C94,1)&lt;&gt;RIGHT(C95,1),B95&lt;&gt;B96),"Dicke " &amp; C95 &amp; " &lt;&gt; Dicke "&amp; C96,
IF(COUNTIF(b01_x,"=a1")&gt;1,"a1 nur einmal",
IF(COUNTIF(b01_x,"=b1")&gt;1,"b1 nur einmal",
IF(COUNTIF(b01_x,"=a2")&gt;1,"a2 nur einmal",
IF(COUNTIF(b01_x,"=b2")&gt;1,"b2 nur einmal","")))))))</f>
        <v/>
      </c>
      <c r="M95" s="490" t="str">
        <f t="shared" si="30"/>
        <v/>
      </c>
      <c r="N95" s="552"/>
      <c r="O95" s="553"/>
      <c r="P95" s="554"/>
      <c r="R95" s="318"/>
      <c r="S95" s="1168" t="str">
        <f t="shared" si="31"/>
        <v/>
      </c>
      <c r="T95" s="404">
        <f t="shared" ca="1" si="34"/>
        <v>0</v>
      </c>
      <c r="U95" s="404">
        <f t="shared" ca="1" si="32"/>
        <v>0</v>
      </c>
      <c r="V95" s="404">
        <f t="shared" ca="1" si="32"/>
        <v>0</v>
      </c>
      <c r="X95" s="319">
        <f ca="1">IFERROR(IF(T95&gt;0,$H95,0)*T82,0)</f>
        <v>0</v>
      </c>
      <c r="Y95" s="319">
        <f ca="1">IFERROR(IF(LEFT($C95,1)="H",0,IF(U95&gt;0,$H95,IF($H95=0,0,VLOOKUP("H"&amp;Y83,$C84:$H95,6))))*U$104,0)</f>
        <v>0</v>
      </c>
      <c r="Z95" s="319">
        <f ca="1">IFERROR(IF(LEFT($C95,1)="H",0,IF(V95&gt;0,$H95,IF($H95=0,0,VLOOKUP("H"&amp;Z$105,$C84:$H95,6))))*V82,0)</f>
        <v>0</v>
      </c>
      <c r="AA95" s="404">
        <f t="shared" ca="1" si="33"/>
        <v>0</v>
      </c>
      <c r="AB95" s="299"/>
      <c r="AC95" s="19"/>
      <c r="AD95" s="19"/>
      <c r="AE95" s="286" t="str">
        <f>AdresseBezug(Tabellen!$O$5:$O$14)</f>
        <v>O5:O14</v>
      </c>
      <c r="AF95" s="286" t="e">
        <f>VLOOKUP(N95,Tabellen!$O$5:$R$57,3,FALSE)</f>
        <v>#N/A</v>
      </c>
      <c r="AG95" s="286" t="e">
        <f t="shared" ca="1" si="26"/>
        <v>#N/A</v>
      </c>
      <c r="AH95" s="288" t="b">
        <f t="shared" ca="1" si="27"/>
        <v>1</v>
      </c>
      <c r="AI95" s="288" t="b">
        <f t="shared" ca="1" si="28"/>
        <v>1</v>
      </c>
      <c r="AJ95" s="287">
        <f>IF(ISERROR(VLOOKUP(N95,Tabellen!$O$5:$R$58,4,FALSE)),1,VLOOKUP(N95,Tabellen!$O$5:$R$58,4,FALSE))</f>
        <v>1</v>
      </c>
      <c r="AK95" s="287">
        <f>IF(ISERROR(VLOOKUP(N95,Tabellen!$O$5:$S$58,5,FALSE)),1,VLOOKUP(N95,Tabellen!$O$5:$S$58,5,FALSE))</f>
        <v>1</v>
      </c>
    </row>
    <row r="96" spans="1:39" ht="14.4" thickTop="1">
      <c r="A96" s="281" t="s">
        <v>812</v>
      </c>
      <c r="B96" s="284"/>
      <c r="C96" s="409" t="s">
        <v>1944</v>
      </c>
      <c r="D96" s="409" t="s">
        <v>1945</v>
      </c>
      <c r="E96" s="301" t="str">
        <f>E83</f>
        <v>Wärmestrom abwärts gegen Erdreich (Rse=0)</v>
      </c>
      <c r="F96" s="301"/>
      <c r="G96" s="301"/>
      <c r="H96" s="284"/>
      <c r="I96" s="154"/>
      <c r="J96" s="315">
        <f>IF(E96&gt;0,VLOOKUP(E96,Tabellen!$W$5:$Y$12,3,FALSE),0)</f>
        <v>0</v>
      </c>
      <c r="M96" s="57"/>
      <c r="Q96" s="57"/>
      <c r="R96" s="57"/>
      <c r="S96" s="295" t="s">
        <v>812</v>
      </c>
      <c r="T96" s="403">
        <f>IF(T82&gt;0,$J96,0)</f>
        <v>0</v>
      </c>
      <c r="U96" s="403">
        <f>IF(U82&gt;0,$J96,0)</f>
        <v>0</v>
      </c>
      <c r="V96" s="403">
        <f>IF(V82&gt;0,$J96,0)</f>
        <v>0</v>
      </c>
      <c r="X96" s="320"/>
      <c r="Y96" s="320"/>
      <c r="Z96" s="320"/>
      <c r="AA96" s="403">
        <f>J96</f>
        <v>0</v>
      </c>
      <c r="AB96" s="299"/>
      <c r="AC96" s="19"/>
      <c r="AD96" s="19"/>
      <c r="AE96" s="713" t="s">
        <v>2459</v>
      </c>
      <c r="AF96" s="713"/>
      <c r="AG96" s="713"/>
      <c r="AH96" s="713" t="s">
        <v>1942</v>
      </c>
      <c r="AI96" s="713"/>
      <c r="AJ96" s="713"/>
      <c r="AL96" s="713" t="s">
        <v>2460</v>
      </c>
      <c r="AM96" s="714"/>
    </row>
    <row r="97" spans="1:41" ht="15">
      <c r="A97" s="364" t="s">
        <v>342</v>
      </c>
      <c r="B97" s="317">
        <f>SUMIF(C84:C95,"",B84:B95)+SUMIF(C84:C95,"G1",B84:B95)+SUMIF(C84:C95,"G2",B84:B95)</f>
        <v>360</v>
      </c>
      <c r="C97" s="317">
        <f>SUMIF(C84:C95,"G1",D84:D95)+SUMIF(C84:C95,"H1",D84:D95)</f>
        <v>0</v>
      </c>
      <c r="D97" s="317">
        <f>SUMIF(C84:C95,"G2",D84:D95)+SUMIF(C84:C95,"H2",D84:D95)</f>
        <v>0</v>
      </c>
      <c r="E97" s="532" t="s">
        <v>2514</v>
      </c>
      <c r="F97" s="533" t="str">
        <f>IF(AND(C97&gt;0,D97=0),"mit inhomogen Schichten (1 Ebene)",
IF(AND(C97&gt;0,D97&gt;0),"mit inhomogen Schichten (2 Ebenen, um 90° gedreht)",
IF(SUM(M84:M95)&gt;0,"mit keilförmiger Schicht","mit homogenen Schichten")))</f>
        <v>mit homogenen Schichten</v>
      </c>
      <c r="G97" s="283"/>
      <c r="H97" s="152"/>
      <c r="I97" s="152"/>
      <c r="J97" s="274"/>
      <c r="K97" s="46" t="str">
        <f>IF(OR(C97&gt;0,D97&gt;0),AK97,IF(SUM(M84:M95)&gt;0,AO97,""))</f>
        <v/>
      </c>
      <c r="L97" s="46"/>
      <c r="M97" s="46"/>
      <c r="N97" s="46"/>
      <c r="O97" s="46"/>
      <c r="P97" s="46"/>
      <c r="Q97" s="57"/>
      <c r="R97" s="57"/>
      <c r="S97" s="295" t="s">
        <v>3427</v>
      </c>
      <c r="T97" s="404">
        <f ca="1">SUM(T83:T96)</f>
        <v>3.5712422360248444</v>
      </c>
      <c r="U97" s="404">
        <f ca="1">SUM(U83:U96)</f>
        <v>3.4012422360248444</v>
      </c>
      <c r="V97" s="404">
        <f ca="1">SUM(V83:V96)</f>
        <v>3.4012422360248444</v>
      </c>
      <c r="X97" s="320">
        <f ca="1">SUM(X84:X95)</f>
        <v>3.7749999999999995</v>
      </c>
      <c r="Y97" s="320">
        <f ca="1">SUM(Y84:Y95)</f>
        <v>0.3624</v>
      </c>
      <c r="Z97" s="320">
        <f ca="1">SUM(Z84:Z95)</f>
        <v>0</v>
      </c>
      <c r="AA97" s="405">
        <f ca="1">SUM(AA83:AA96)</f>
        <v>3.2733232080518651</v>
      </c>
      <c r="AB97" s="297" t="s">
        <v>3417</v>
      </c>
      <c r="AC97" s="19"/>
      <c r="AD97" s="19"/>
      <c r="AK97" s="207" t="s">
        <v>3433</v>
      </c>
      <c r="AO97" s="207" t="s">
        <v>955</v>
      </c>
    </row>
    <row r="98" spans="1:41" ht="15">
      <c r="A98" s="275"/>
      <c r="B98" s="276" t="str">
        <f>IF(OR(C97&gt;0,D97&gt;0),AH98,IF(SUM(M84:M95)&gt;0,AL98,AE98))</f>
        <v>Wärmedurchgangswiderstand</v>
      </c>
      <c r="C98" s="276"/>
      <c r="G98" s="37"/>
      <c r="H98" s="521" t="str">
        <f>IF(OR(C97&gt;0,D97&gt;0),AI98,IF(SUM(M84:M95)&gt;0,AM98,AF98))</f>
        <v>R = Rsi + ∑ di / λi + Rse =</v>
      </c>
      <c r="I98" s="513">
        <f ca="1">IF(OR(C97&gt;0,D97&gt;0),AJ98,IF(SUM(M84:M95)&gt;0,AN98,AG98))</f>
        <v>3.5712422360248444</v>
      </c>
      <c r="J98" s="277" t="s">
        <v>809</v>
      </c>
      <c r="K98" s="1226" t="str">
        <f>IF(OR(C97&gt;0,D97&gt;0),AK98,IF(SUM(M84:M95)&gt;0,AO98,""))</f>
        <v/>
      </c>
      <c r="L98" s="1227"/>
      <c r="M98" s="1227"/>
      <c r="N98" s="1227"/>
      <c r="O98" s="1227"/>
      <c r="P98" s="1227"/>
      <c r="Q98" s="57"/>
      <c r="R98" s="57"/>
      <c r="S98" s="1170" t="s">
        <v>3428</v>
      </c>
      <c r="T98" s="404">
        <f ca="1">IFERROR(T82/T97,0)</f>
        <v>0.28001460945788481</v>
      </c>
      <c r="U98" s="404">
        <f t="shared" ref="U98:V98" ca="1" si="35">IFERROR(U82/U97,0)</f>
        <v>0</v>
      </c>
      <c r="V98" s="404">
        <f t="shared" ca="1" si="35"/>
        <v>0</v>
      </c>
      <c r="X98" s="321"/>
      <c r="Y98" s="321"/>
      <c r="Z98" s="321"/>
      <c r="AA98" s="322"/>
      <c r="AB98" s="299"/>
      <c r="AC98" s="19"/>
      <c r="AD98" s="19"/>
      <c r="AE98" s="711" t="s">
        <v>2461</v>
      </c>
      <c r="AF98" s="710" t="s">
        <v>2466</v>
      </c>
      <c r="AG98" s="715">
        <f ca="1">T97</f>
        <v>3.5712422360248444</v>
      </c>
      <c r="AH98" s="711" t="s">
        <v>2468</v>
      </c>
      <c r="AI98" s="710" t="s">
        <v>3429</v>
      </c>
      <c r="AJ98" s="715">
        <f ca="1">IF(SUM(T98:V98)&gt;0,1/SUM(T98:V98),0)</f>
        <v>3.5712422360248439</v>
      </c>
      <c r="AK98" s="207" t="s">
        <v>2464</v>
      </c>
      <c r="AL98" s="711" t="s">
        <v>2470</v>
      </c>
      <c r="AM98" s="710" t="s">
        <v>2485</v>
      </c>
      <c r="AN98" s="715" t="str">
        <f>IF(SUM(M84:M95)&gt;0,SUM(M84:M95),"")</f>
        <v/>
      </c>
      <c r="AO98" s="207" t="s">
        <v>2416</v>
      </c>
    </row>
    <row r="99" spans="1:41" ht="15">
      <c r="A99" s="275"/>
      <c r="B99" s="276" t="str">
        <f>IF(OR(C97&gt;0,D97&gt;0),AH99,IF(SUM(M84:M95)&gt;0,AL99,AE99))</f>
        <v xml:space="preserve"> </v>
      </c>
      <c r="G99" s="276"/>
      <c r="H99" s="521" t="str">
        <f>IF(OR(C97&gt;0,D97&gt;0),AI99,IF(SUM(M84:M95)&gt;0,AM99,AF99))</f>
        <v xml:space="preserve"> </v>
      </c>
      <c r="I99" s="513" t="str">
        <f>IF(OR(C97&gt;0,D97&gt;0),AJ99,IF(SUM(M84:M95)&gt;0,AN99,AG99))</f>
        <v xml:space="preserve"> </v>
      </c>
      <c r="J99" s="277" t="s">
        <v>809</v>
      </c>
      <c r="K99" s="1226"/>
      <c r="L99" s="1227"/>
      <c r="M99" s="1227"/>
      <c r="N99" s="1227"/>
      <c r="O99" s="1227"/>
      <c r="P99" s="1227"/>
      <c r="Q99" s="57"/>
      <c r="R99" s="57"/>
      <c r="S99" s="297" t="s">
        <v>3426</v>
      </c>
      <c r="T99" s="405"/>
      <c r="U99" s="405"/>
      <c r="V99" s="405">
        <f ca="1">IF(SUM(T98:V98)&gt;0,1/SUM(T98:V98),0)</f>
        <v>3.5712422360248439</v>
      </c>
      <c r="AC99" s="19"/>
      <c r="AD99" s="19"/>
      <c r="AE99" s="711" t="s">
        <v>955</v>
      </c>
      <c r="AF99" s="710" t="s">
        <v>955</v>
      </c>
      <c r="AG99" s="715" t="s">
        <v>955</v>
      </c>
      <c r="AH99" s="711" t="s">
        <v>2465</v>
      </c>
      <c r="AI99" s="710" t="s">
        <v>3430</v>
      </c>
      <c r="AJ99" s="715">
        <f ca="1">AA97</f>
        <v>3.2733232080518651</v>
      </c>
      <c r="AK99" s="207" t="s">
        <v>955</v>
      </c>
      <c r="AL99" s="711" t="s">
        <v>2469</v>
      </c>
      <c r="AM99" s="710" t="s">
        <v>2467</v>
      </c>
      <c r="AN99" s="715" t="str">
        <f>IF(SUM(M84:M95)&gt;0,SUM(I83:J96),"")</f>
        <v/>
      </c>
      <c r="AO99" s="207" t="s">
        <v>955</v>
      </c>
    </row>
    <row r="100" spans="1:41" ht="15">
      <c r="A100" s="280"/>
      <c r="B100" s="281" t="str">
        <f>IF(OR(C97&gt;0,D97&gt;0),AH100,IF(SUM(M84:M95)&gt;0,AL100,AE100))</f>
        <v>Wärmedurchgangskoeffizient</v>
      </c>
      <c r="C100" s="154"/>
      <c r="D100" s="154"/>
      <c r="E100" s="154"/>
      <c r="F100" s="154"/>
      <c r="G100" s="154"/>
      <c r="H100" s="522" t="str">
        <f>IF(OR(C97&gt;0,D97&gt;0),AI100,IF(SUM(M84:M95)&gt;0,AM100,AF100))</f>
        <v>U = 1 / R =</v>
      </c>
      <c r="I100" s="514">
        <f ca="1">IF(OR(C97&gt;0,D97&gt;0),AJ100,IF(SUM(M84:M95)&gt;0,AN100,AG100))</f>
        <v>0.28001460945788481</v>
      </c>
      <c r="J100" s="282" t="s">
        <v>815</v>
      </c>
      <c r="K100" s="46" t="str">
        <f>IF(OR(C97&gt;0,D97&gt;0),AK100,IF(SUM(M84:M95)&gt;0,AO100,""))</f>
        <v/>
      </c>
      <c r="L100" s="46"/>
      <c r="M100" s="46"/>
      <c r="N100" s="46"/>
      <c r="O100" s="46"/>
      <c r="P100" s="46"/>
      <c r="Q100" s="57"/>
      <c r="R100" s="57"/>
      <c r="T100" s="292"/>
      <c r="U100" s="57"/>
      <c r="V100" s="57"/>
      <c r="W100" s="57"/>
      <c r="X100" s="292"/>
      <c r="Y100" s="292"/>
      <c r="Z100" s="292"/>
      <c r="AC100" s="19"/>
      <c r="AD100" s="19"/>
      <c r="AE100" s="711" t="s">
        <v>813</v>
      </c>
      <c r="AF100" s="710" t="s">
        <v>2463</v>
      </c>
      <c r="AG100" s="715">
        <f ca="1">IF(AG98&gt;0,1/AG98,"")</f>
        <v>0.28001460945788481</v>
      </c>
      <c r="AH100" s="711" t="s">
        <v>813</v>
      </c>
      <c r="AI100" s="710" t="s">
        <v>3431</v>
      </c>
      <c r="AJ100" s="715">
        <f ca="1">IF((AJ98+AJ99)&gt;0,2/(AJ98+AJ99),0)</f>
        <v>0.29220262649848738</v>
      </c>
      <c r="AK100" s="207" t="str">
        <f>"Hier: Rtot;upper / Rtot;lower = "&amp; IF(AND(I99&gt;0,(C97+D97)&gt;0),TEXT(I98/I99,"0,00")&amp;IF(I98/I99&lt;=1.5," &lt;= 1,5, d.h. zulässig"," &gt; 1,5, d.h. nicht zulässig"),"nicht relevant")</f>
        <v>Hier: Rtot;upper / Rtot;lower = nicht relevant</v>
      </c>
      <c r="AL100" s="711" t="s">
        <v>2462</v>
      </c>
      <c r="AM100" s="710" t="s">
        <v>2486</v>
      </c>
      <c r="AN100" s="715" t="str">
        <f>IF(SUM(M84:M95)&gt;0,IF(AN98*AN99&gt;0,1/AN98*LN(1+AN98/AN99),""),"")</f>
        <v/>
      </c>
      <c r="AO100" s="207" t="s">
        <v>2417</v>
      </c>
    </row>
    <row r="102" spans="1:41" ht="13.8">
      <c r="A102" s="419" t="s">
        <v>819</v>
      </c>
      <c r="B102" s="1214" t="s">
        <v>2527</v>
      </c>
      <c r="C102" s="1215"/>
      <c r="D102" s="1215"/>
      <c r="E102" s="1215"/>
      <c r="F102" s="1216"/>
      <c r="G102" s="1216"/>
      <c r="H102" s="1216"/>
      <c r="I102" s="523">
        <f ca="1">I122</f>
        <v>0.1942833496939492</v>
      </c>
      <c r="J102" s="737">
        <v>0.5</v>
      </c>
      <c r="K102" s="33"/>
      <c r="L102" s="87">
        <f>ROW(A103)</f>
        <v>103</v>
      </c>
      <c r="M102" s="87">
        <f>ROW(A122)</f>
        <v>122</v>
      </c>
      <c r="N102" s="515">
        <f>(ROW(A102)-ROW($A$36))/(ROW($A$58)-ROW($A$36))+1</f>
        <v>4</v>
      </c>
      <c r="O102" s="216"/>
      <c r="P102" s="216"/>
      <c r="Q102" s="87"/>
      <c r="R102" s="87"/>
      <c r="S102" s="297" t="s">
        <v>3414</v>
      </c>
      <c r="T102" s="294"/>
      <c r="U102" s="293"/>
      <c r="V102" s="293"/>
      <c r="X102" s="297" t="s">
        <v>3415</v>
      </c>
      <c r="Y102" s="297"/>
      <c r="Z102" s="297"/>
      <c r="AA102" s="294"/>
      <c r="AB102" s="298"/>
      <c r="AC102" s="19"/>
      <c r="AD102" s="19"/>
    </row>
    <row r="103" spans="1:41" ht="22.8">
      <c r="A103" s="310" t="s">
        <v>1125</v>
      </c>
      <c r="B103" s="365" t="s">
        <v>1115</v>
      </c>
      <c r="C103" s="1221" t="s">
        <v>3425</v>
      </c>
      <c r="D103" s="1222"/>
      <c r="E103" s="306" t="s">
        <v>1116</v>
      </c>
      <c r="F103" s="305"/>
      <c r="G103" s="305"/>
      <c r="H103" s="306" t="s">
        <v>1120</v>
      </c>
      <c r="I103" s="306" t="s">
        <v>1679</v>
      </c>
      <c r="J103" s="591" t="s">
        <v>1113</v>
      </c>
      <c r="K103" s="33"/>
      <c r="M103" s="57"/>
      <c r="N103" s="387"/>
      <c r="Q103" s="57"/>
      <c r="R103" s="57"/>
      <c r="S103" s="295" t="s">
        <v>3416</v>
      </c>
      <c r="T103" s="1167">
        <v>0</v>
      </c>
      <c r="U103" s="296">
        <v>1</v>
      </c>
      <c r="V103" s="296">
        <v>2</v>
      </c>
      <c r="X103" s="1169" t="s">
        <v>3413</v>
      </c>
      <c r="Y103" s="296"/>
      <c r="Z103" s="296"/>
      <c r="AA103" s="296" t="s">
        <v>3418</v>
      </c>
      <c r="AB103" s="298"/>
      <c r="AC103" s="19"/>
      <c r="AD103" s="19"/>
      <c r="AE103" s="272" t="s">
        <v>824</v>
      </c>
      <c r="AF103" s="197"/>
      <c r="AG103" s="197"/>
      <c r="AH103" s="195" t="s">
        <v>842</v>
      </c>
      <c r="AI103" s="199"/>
      <c r="AJ103" s="289" t="s">
        <v>1671</v>
      </c>
      <c r="AK103" s="289"/>
    </row>
    <row r="104" spans="1:41" ht="13.8">
      <c r="A104" s="312"/>
      <c r="B104" s="306" t="s">
        <v>807</v>
      </c>
      <c r="C104" s="306" t="s">
        <v>3424</v>
      </c>
      <c r="D104" s="306" t="s">
        <v>807</v>
      </c>
      <c r="E104" s="311" t="s">
        <v>806</v>
      </c>
      <c r="F104" s="770"/>
      <c r="G104" s="771"/>
      <c r="H104" s="306" t="s">
        <v>808</v>
      </c>
      <c r="I104" s="306" t="s">
        <v>1122</v>
      </c>
      <c r="J104" s="591" t="s">
        <v>809</v>
      </c>
      <c r="N104" s="387"/>
      <c r="S104" s="295" t="s">
        <v>1114</v>
      </c>
      <c r="T104" s="405">
        <f>1-U104-V104</f>
        <v>0.80400000000000005</v>
      </c>
      <c r="U104" s="405">
        <f>IF(C119=0,0,SUMIF($C106:$C117,"H"&amp;U103,$D106:$D117)/C119)</f>
        <v>9.6000000000000002E-2</v>
      </c>
      <c r="V104" s="405">
        <f>IF(D119=0,0,SUMIF($C106:$C117,"H"&amp;V103,$D106:$D117)/D119)</f>
        <v>0.1</v>
      </c>
      <c r="X104" s="407" t="s">
        <v>3423</v>
      </c>
      <c r="Y104" s="407" t="s">
        <v>1910</v>
      </c>
      <c r="Z104" s="407"/>
      <c r="AA104" s="406" t="s">
        <v>3432</v>
      </c>
      <c r="AB104" s="299"/>
      <c r="AC104" s="19"/>
      <c r="AD104" s="19"/>
      <c r="AE104" s="197"/>
      <c r="AF104" s="197"/>
      <c r="AG104" s="197"/>
      <c r="AH104" s="199"/>
      <c r="AI104" s="199"/>
      <c r="AJ104" s="289" t="s">
        <v>1672</v>
      </c>
      <c r="AK104" s="289"/>
    </row>
    <row r="105" spans="1:41" ht="13.8">
      <c r="A105" s="279" t="s">
        <v>810</v>
      </c>
      <c r="B105" s="276"/>
      <c r="C105" s="276"/>
      <c r="D105" s="276"/>
      <c r="E105" s="1217" t="s">
        <v>2528</v>
      </c>
      <c r="F105" s="1218"/>
      <c r="G105" s="1218"/>
      <c r="H105" s="276"/>
      <c r="I105" s="278"/>
      <c r="J105" s="315">
        <f>IF(E105&gt;0,VLOOKUP(E105,Tabellen!$W$5:$Y$12,2,FALSE),0)</f>
        <v>0.1</v>
      </c>
      <c r="N105" s="418" t="s">
        <v>821</v>
      </c>
      <c r="O105" s="418" t="s">
        <v>818</v>
      </c>
      <c r="P105" s="418" t="s">
        <v>820</v>
      </c>
      <c r="S105" s="295" t="s">
        <v>810</v>
      </c>
      <c r="T105" s="403">
        <f>IF(T104&gt;0,$J105,0)</f>
        <v>0.1</v>
      </c>
      <c r="U105" s="403">
        <f>IF(U104&gt;0,$J105,0)</f>
        <v>0.1</v>
      </c>
      <c r="V105" s="403">
        <f>IF(V104&gt;0,$J105,0)</f>
        <v>0.1</v>
      </c>
      <c r="X105" s="1169">
        <v>0</v>
      </c>
      <c r="Y105" s="1169">
        <v>1</v>
      </c>
      <c r="Z105" s="1169">
        <v>2</v>
      </c>
      <c r="AA105" s="403">
        <f>J105</f>
        <v>0.1</v>
      </c>
      <c r="AB105" s="299"/>
      <c r="AC105" s="19"/>
      <c r="AD105" s="19"/>
      <c r="AE105" s="197" t="s">
        <v>821</v>
      </c>
      <c r="AF105" s="197" t="s">
        <v>818</v>
      </c>
      <c r="AG105" s="197" t="s">
        <v>820</v>
      </c>
      <c r="AH105" s="199" t="s">
        <v>1678</v>
      </c>
      <c r="AI105" s="199" t="s">
        <v>818</v>
      </c>
    </row>
    <row r="106" spans="1:41" ht="23.4" thickBot="1">
      <c r="A106" s="285">
        <v>1</v>
      </c>
      <c r="B106" s="540">
        <v>12.5</v>
      </c>
      <c r="C106" s="736"/>
      <c r="D106" s="541"/>
      <c r="E106" s="1219" t="str">
        <f t="shared" ref="E106:E117" si="36">IF(AJ106&gt;1,N106&amp;": "&amp;INDEX(N106:P106,AJ106),"")</f>
        <v>3 Bauplatten DIN4108-4 Tab1: 3.4 Gipsplatten - rho 900 [0,25]</v>
      </c>
      <c r="F106" s="1219"/>
      <c r="G106" s="1220"/>
      <c r="H106" s="534">
        <f ca="1">CHOOSE(AK106,0,
VLOOKUP(P106,OFFSET(INDIRECT("Tabellen!"&amp;AG106),0,0,,2),2,FALSE),
VLOOKUP(P106,OFFSET(INDIRECT("Tabellen!"&amp;AG106),0,0,,3),3,FALSE),
VLOOKUP(P106,OFFSET(INDIRECT("Tabellen!"&amp;AG106),0,0,,3),3,FALSE),
RechLuftschichtRuhend(B106,MATCH(Bauteile!O106,Tabellen!$W$5:$W$12,0)),
VLOOKUP(O106,OFFSET(INDIRECT("Tabellen!"&amp;AF106),0,0,,7),7,FALSE))</f>
        <v>0.25</v>
      </c>
      <c r="I106" s="316">
        <f ca="1">IF(C106="keilförmig","siehe unten",IF(H106&gt;0,B106/1000/H106,0))</f>
        <v>0.05</v>
      </c>
      <c r="J106" s="304"/>
      <c r="M106" s="490" t="str">
        <f>IF(C106="keilförmig",IF(H106&gt;0,B106/1000/H106,0),"")</f>
        <v/>
      </c>
      <c r="N106" s="546" t="s">
        <v>2519</v>
      </c>
      <c r="O106" s="547" t="s">
        <v>3298</v>
      </c>
      <c r="P106" s="548" t="s">
        <v>3471</v>
      </c>
      <c r="R106" s="318"/>
      <c r="S106" s="1168" t="str">
        <f>IF(AND(C106&lt;&gt;"keilförmig",C106&lt;&gt;""),VALUE(RIGHT(C106,1)),"")</f>
        <v/>
      </c>
      <c r="T106" s="404">
        <f ca="1">IFERROR(IF($H106=0,0,IF(OR($C106=0,LEFT($C106,1)="G"),$B106/1000/$H106,0)),0)</f>
        <v>0.05</v>
      </c>
      <c r="U106" s="404">
        <f ca="1">IFERROR(IF($H106=0,0,IF($C106="H"&amp;U$103,$B106/1000/$H106,IF($C106="G"&amp;U$103,0,$T106))),0)</f>
        <v>0.05</v>
      </c>
      <c r="V106" s="404">
        <f ca="1">IFERROR(IF($H106=0,0,IF($C106="H"&amp;V$103,$B106/1000/$H106,IF($C106="G"&amp;V$103,0,$T106))),0)</f>
        <v>0.05</v>
      </c>
      <c r="X106" s="319">
        <f ca="1">IFERROR(IF(T106&gt;0,$H106,0)*T104,0)</f>
        <v>0.20100000000000001</v>
      </c>
      <c r="Y106" s="319">
        <f ca="1">IFERROR(IF(LEFT($C106,1)="H",0,IF(U106&gt;0,$H106,IF($H106=0,0,VLOOKUP("H"&amp;Y105,$C106:$H117,6))))*U$104,0)</f>
        <v>2.4E-2</v>
      </c>
      <c r="Z106" s="319">
        <f ca="1">IFERROR(IF(LEFT($C106,1)="H",0,IF(V106&gt;0,$H106,IF($H106=0,0,VLOOKUP("H"&amp;Z$105,$C106:$H117,6))))*V104,0)</f>
        <v>2.5000000000000001E-2</v>
      </c>
      <c r="AA106" s="404">
        <f ca="1">IFERROR($B106/1000/SUM(X106:Z106),0)</f>
        <v>0.05</v>
      </c>
      <c r="AB106" s="299"/>
      <c r="AC106" s="19"/>
      <c r="AD106" s="19"/>
      <c r="AE106" s="286" t="str">
        <f>AdresseBezug(Tabellen!$O$5:$O$14)</f>
        <v>O5:O14</v>
      </c>
      <c r="AF106" s="286" t="str">
        <f>VLOOKUP(N106,Tabellen!$O$5:$R$57,3,FALSE)</f>
        <v>X67:X70</v>
      </c>
      <c r="AG106" s="286" t="str">
        <f t="shared" ref="AG106:AG117" ca="1" si="37">VLOOKUP(O106,OFFSET(INDIRECT("Tabellen!"&amp;AF106),0,0,,2),2,FALSE)</f>
        <v>q184:q185</v>
      </c>
      <c r="AH106" s="288" t="b">
        <f t="shared" ref="AH106:AH117" ca="1" si="38">ISERROR(VLOOKUP(O106,INDIRECT("Tabellen!"&amp;AF106),1,FALSE))</f>
        <v>0</v>
      </c>
      <c r="AI106" s="288" t="b">
        <f t="shared" ref="AI106:AI117" ca="1" si="39">ISERROR(VLOOKUP(P106,INDIRECT("Tabellen!"&amp;AG106),1,FALSE))</f>
        <v>0</v>
      </c>
      <c r="AJ106" s="287">
        <f>IF(ISERROR(VLOOKUP(N106,Tabellen!$O$5:$R$58,4,FALSE)),1,VLOOKUP(N106,Tabellen!$O$5:$R$58,4,FALSE))</f>
        <v>3</v>
      </c>
      <c r="AK106" s="287">
        <f>IF(ISERROR(VLOOKUP(N106,Tabellen!$O$5:$S$58,5,FALSE)),1,VLOOKUP(N106,Tabellen!$O$5:$S$58,5,FALSE))</f>
        <v>2</v>
      </c>
    </row>
    <row r="107" spans="1:41" ht="24" thickTop="1" thickBot="1">
      <c r="A107" s="1171">
        <f>IF(B107=0,"",A106+IF(AND(B107&gt;0,RIGHT(C107,1)=RIGHT(C106,1)),0,1))</f>
        <v>2</v>
      </c>
      <c r="B107" s="542">
        <v>40</v>
      </c>
      <c r="C107" s="736" t="s">
        <v>3419</v>
      </c>
      <c r="D107" s="543">
        <v>565</v>
      </c>
      <c r="E107" s="1219" t="str">
        <f t="shared" si="36"/>
        <v>5 Wärmedämmstoffe DIN4108-4 Tab2: 5.1 Mineralwolle (MW) [0,035]</v>
      </c>
      <c r="F107" s="1219"/>
      <c r="G107" s="1220"/>
      <c r="H107" s="534">
        <f ca="1">CHOOSE(AK107,0,
VLOOKUP(P107,OFFSET(INDIRECT("Tabellen!"&amp;AG107),0,0,,2),2,FALSE),
VLOOKUP(P107,OFFSET(INDIRECT("Tabellen!"&amp;AG107),0,0,,3),3,FALSE),
VLOOKUP(P107,OFFSET(INDIRECT("Tabellen!"&amp;AG107),0,0,,3),3,FALSE),
RechLuftschichtRuhend(B107,MATCH(Bauteile!O107,Tabellen!$W$5:$W$12,0)),
VLOOKUP(O107,OFFSET(INDIRECT("Tabellen!"&amp;AF107),0,0,,7),7,FALSE))</f>
        <v>3.5000000000000003E-2</v>
      </c>
      <c r="I107" s="316">
        <f t="shared" ref="I107:I117" ca="1" si="40">IF(C107="keilförmig","siehe unten",IF(H107&gt;0,B107/1000/H107,0))</f>
        <v>1.1428571428571428</v>
      </c>
      <c r="J107" s="304"/>
      <c r="M107" s="490" t="str">
        <f t="shared" ref="M107:M117" si="41">IF(C107="keilförmig",IF(H107&gt;0,B107/1000/H107,0),"")</f>
        <v/>
      </c>
      <c r="N107" s="549" t="s">
        <v>2419</v>
      </c>
      <c r="O107" s="550" t="s">
        <v>1464</v>
      </c>
      <c r="P107" s="551" t="s">
        <v>2529</v>
      </c>
      <c r="R107" s="318"/>
      <c r="S107" s="1168">
        <f t="shared" ref="S107:S117" si="42">IF(AND(C107&lt;&gt;"keilförmig",C107&lt;&gt;""),VALUE(RIGHT(C107,1)),"")</f>
        <v>1</v>
      </c>
      <c r="T107" s="404">
        <f ca="1">IFERROR(IF($H107=0,0,IF(OR($C107=0,LEFT($C107,1)="G"),$B107/1000/$H107,0)),0)</f>
        <v>1.1428571428571428</v>
      </c>
      <c r="U107" s="404">
        <f t="shared" ref="U107:V117" ca="1" si="43">IFERROR(IF($H107=0,0,IF($C107="H"&amp;U$103,$B107/1000/$H107,IF($C107="G"&amp;U$103,0,$T107))),0)</f>
        <v>0</v>
      </c>
      <c r="V107" s="404">
        <f t="shared" ca="1" si="43"/>
        <v>1.1428571428571428</v>
      </c>
      <c r="X107" s="319">
        <f ca="1">IFERROR(IF(T107&gt;0,$H107,0)*T104,0)</f>
        <v>2.8140000000000005E-2</v>
      </c>
      <c r="Y107" s="319">
        <f ca="1">IFERROR(IF(LEFT($C107,1)="H",0,IF(U107&gt;0,$H107,IF($H107=0,0,VLOOKUP("H"&amp;Y105,$C106:$H117,6))))*U$104,0)</f>
        <v>1.2480000000000002E-2</v>
      </c>
      <c r="Z107" s="319">
        <f ca="1">IFERROR(IF(LEFT($C107,1)="H",0,IF(V107&gt;0,$H107,IF($H107=0,0,VLOOKUP("H"&amp;Z$105,$C106:$H117,6))))*V104,0)</f>
        <v>3.5000000000000005E-3</v>
      </c>
      <c r="AA107" s="404">
        <f t="shared" ref="AA107:AA117" ca="1" si="44">IFERROR($B107/1000/SUM(X107:Z107),0)</f>
        <v>0.90661831368993639</v>
      </c>
      <c r="AB107" s="299"/>
      <c r="AC107" s="19"/>
      <c r="AD107" s="19"/>
      <c r="AE107" s="286" t="str">
        <f>AdresseBezug(Tabellen!$O$5:$O$14)</f>
        <v>O5:O14</v>
      </c>
      <c r="AF107" s="286" t="str">
        <f>VLOOKUP(N107,Tabellen!$O$5:$R$57,3,FALSE)</f>
        <v>X468:X481</v>
      </c>
      <c r="AG107" s="286" t="str">
        <f t="shared" ca="1" si="37"/>
        <v>p468:p488</v>
      </c>
      <c r="AH107" s="288" t="b">
        <f t="shared" ca="1" si="38"/>
        <v>0</v>
      </c>
      <c r="AI107" s="288" t="b">
        <f t="shared" ca="1" si="39"/>
        <v>0</v>
      </c>
      <c r="AJ107" s="287">
        <f>IF(ISERROR(VLOOKUP(N107,Tabellen!$O$5:$R$58,4,FALSE)),1,VLOOKUP(N107,Tabellen!$O$5:$R$58,4,FALSE))</f>
        <v>3</v>
      </c>
      <c r="AK107" s="287">
        <f>IF(ISERROR(VLOOKUP(N107,Tabellen!$O$5:$S$58,5,FALSE)),1,VLOOKUP(N107,Tabellen!$O$5:$S$58,5,FALSE))</f>
        <v>3</v>
      </c>
    </row>
    <row r="108" spans="1:41" ht="15" thickTop="1" thickBot="1">
      <c r="A108" s="1171">
        <f t="shared" ref="A108:A117" si="45">IF(B108=0,"",A107+IF(AND(B108&gt;0,RIGHT(C108,1)=RIGHT(C107,1)),0,1))</f>
        <v>2</v>
      </c>
      <c r="B108" s="542">
        <v>40</v>
      </c>
      <c r="C108" s="736" t="s">
        <v>3420</v>
      </c>
      <c r="D108" s="543">
        <v>60</v>
      </c>
      <c r="E108" s="1219" t="str">
        <f t="shared" si="36"/>
        <v>ISO10456 Tab3: 18.2 Nutzholz - rho 500 [0,13]</v>
      </c>
      <c r="F108" s="1219"/>
      <c r="G108" s="1220"/>
      <c r="H108" s="534">
        <f ca="1">CHOOSE(AK108,0,
VLOOKUP(P108,OFFSET(INDIRECT("Tabellen!"&amp;AG108),0,0,,2),2,FALSE),
VLOOKUP(P108,OFFSET(INDIRECT("Tabellen!"&amp;AG108),0,0,,3),3,FALSE),
VLOOKUP(P108,OFFSET(INDIRECT("Tabellen!"&amp;AG108),0,0,,3),3,FALSE),
RechLuftschichtRuhend(B108,MATCH(Bauteile!O108,Tabellen!$W$5:$W$12,0)),
VLOOKUP(O108,OFFSET(INDIRECT("Tabellen!"&amp;AF108),0,0,,7),7,FALSE))</f>
        <v>0.13</v>
      </c>
      <c r="I108" s="316">
        <f t="shared" ca="1" si="40"/>
        <v>0.30769230769230771</v>
      </c>
      <c r="J108" s="304"/>
      <c r="M108" s="490" t="str">
        <f t="shared" si="41"/>
        <v/>
      </c>
      <c r="N108" s="546" t="s">
        <v>1663</v>
      </c>
      <c r="O108" s="547" t="s">
        <v>1221</v>
      </c>
      <c r="P108" s="548" t="s">
        <v>1732</v>
      </c>
      <c r="R108" s="318"/>
      <c r="S108" s="1168">
        <f t="shared" si="42"/>
        <v>1</v>
      </c>
      <c r="T108" s="404">
        <f t="shared" ref="T108:T117" ca="1" si="46">IFERROR(IF($H108=0,0,IF(OR($C108=0,LEFT($C108,1)="G"),$B108/1000/$H108,0)),0)</f>
        <v>0</v>
      </c>
      <c r="U108" s="404">
        <f t="shared" ca="1" si="43"/>
        <v>0.30769230769230771</v>
      </c>
      <c r="V108" s="404">
        <f t="shared" ca="1" si="43"/>
        <v>0</v>
      </c>
      <c r="X108" s="319">
        <f ca="1">IFERROR(IF(T108&gt;0,$H108,0)*T104,0)</f>
        <v>0</v>
      </c>
      <c r="Y108" s="319">
        <f>IFERROR(IF(LEFT($C108,1)="H",0,IF(U108&gt;0,$H108,IF($H108=0,0,VLOOKUP("H"&amp;Y105,$C106:$H117,6))))*U$104,0)</f>
        <v>0</v>
      </c>
      <c r="Z108" s="319">
        <f>IFERROR(IF(LEFT($C108,1)="H",0,IF(V108&gt;0,$H108,IF($H108=0,0,VLOOKUP("H"&amp;Z$105,$C106:$H117,6))))*V104,0)</f>
        <v>0</v>
      </c>
      <c r="AA108" s="404">
        <f t="shared" ca="1" si="44"/>
        <v>0</v>
      </c>
      <c r="AB108" s="300"/>
      <c r="AC108" s="19"/>
      <c r="AD108" s="19"/>
      <c r="AE108" s="286" t="str">
        <f>AdresseBezug(Tabellen!$O$5:$O$14)</f>
        <v>O5:O14</v>
      </c>
      <c r="AF108" s="286" t="str">
        <f>VLOOKUP(N108,Tabellen!$O$5:$R$57,3,FALSE)</f>
        <v>X786:X804</v>
      </c>
      <c r="AG108" s="286" t="str">
        <f t="shared" ca="1" si="37"/>
        <v>p902:p904</v>
      </c>
      <c r="AH108" s="288" t="b">
        <f t="shared" ca="1" si="38"/>
        <v>0</v>
      </c>
      <c r="AI108" s="288" t="b">
        <f t="shared" ca="1" si="39"/>
        <v>0</v>
      </c>
      <c r="AJ108" s="287">
        <f>IF(ISERROR(VLOOKUP(N108,Tabellen!$O$5:$R$58,4,FALSE)),1,VLOOKUP(N108,Tabellen!$O$5:$R$58,4,FALSE))</f>
        <v>3</v>
      </c>
      <c r="AK108" s="287">
        <f>IF(ISERROR(VLOOKUP(N108,Tabellen!$O$5:$S$58,5,FALSE)),1,VLOOKUP(N108,Tabellen!$O$5:$S$58,5,FALSE))</f>
        <v>4</v>
      </c>
    </row>
    <row r="109" spans="1:41" ht="24" thickTop="1" thickBot="1">
      <c r="A109" s="1171">
        <f t="shared" si="45"/>
        <v>3</v>
      </c>
      <c r="B109" s="542">
        <v>160</v>
      </c>
      <c r="C109" s="736" t="s">
        <v>3421</v>
      </c>
      <c r="D109" s="543">
        <v>720</v>
      </c>
      <c r="E109" s="1219" t="str">
        <f t="shared" si="36"/>
        <v>5 Wärmedämmstoffe DIN4108-4 Tab2: 5.1 Mineralwolle (MW) [0,035]</v>
      </c>
      <c r="F109" s="1219"/>
      <c r="G109" s="1220"/>
      <c r="H109" s="534">
        <f ca="1">CHOOSE(AK109,0,
VLOOKUP(P109,OFFSET(INDIRECT("Tabellen!"&amp;AG109),0,0,,2),2,FALSE),
VLOOKUP(P109,OFFSET(INDIRECT("Tabellen!"&amp;AG109),0,0,,3),3,FALSE),
VLOOKUP(P109,OFFSET(INDIRECT("Tabellen!"&amp;AG109),0,0,,3),3,FALSE),
RechLuftschichtRuhend(B109,MATCH(Bauteile!O109,Tabellen!$W$5:$W$12,0)),
VLOOKUP(O109,OFFSET(INDIRECT("Tabellen!"&amp;AF109),0,0,,7),7,FALSE))</f>
        <v>3.5000000000000003E-2</v>
      </c>
      <c r="I109" s="316">
        <f t="shared" ca="1" si="40"/>
        <v>4.5714285714285712</v>
      </c>
      <c r="J109" s="304"/>
      <c r="M109" s="490" t="str">
        <f t="shared" si="41"/>
        <v/>
      </c>
      <c r="N109" s="549" t="s">
        <v>2419</v>
      </c>
      <c r="O109" s="550" t="s">
        <v>1464</v>
      </c>
      <c r="P109" s="551" t="s">
        <v>2529</v>
      </c>
      <c r="R109" s="318"/>
      <c r="S109" s="1168">
        <f t="shared" si="42"/>
        <v>2</v>
      </c>
      <c r="T109" s="404">
        <f t="shared" ca="1" si="46"/>
        <v>4.5714285714285712</v>
      </c>
      <c r="U109" s="404">
        <f t="shared" ca="1" si="43"/>
        <v>4.5714285714285712</v>
      </c>
      <c r="V109" s="404">
        <f t="shared" ca="1" si="43"/>
        <v>0</v>
      </c>
      <c r="X109" s="319">
        <f ca="1">IFERROR(IF(T109&gt;0,$H109,0)*T104,0)</f>
        <v>2.8140000000000005E-2</v>
      </c>
      <c r="Y109" s="319">
        <f ca="1">IFERROR(IF(LEFT($C109,1)="H",0,IF(U109&gt;0,$H109,IF($H109=0,0,VLOOKUP("H"&amp;Y105,$C106:$H117,6))))*U$104,0)</f>
        <v>3.3600000000000006E-3</v>
      </c>
      <c r="Z109" s="319">
        <f ca="1">IFERROR(IF(LEFT($C109,1)="H",0,IF(V109&gt;0,$H109,IF($H109=0,0,VLOOKUP("H"&amp;Z$105,$C106:$H117,6))))*V104,0)</f>
        <v>1.3000000000000001E-2</v>
      </c>
      <c r="AA109" s="404">
        <f t="shared" ca="1" si="44"/>
        <v>3.5955056179775271</v>
      </c>
      <c r="AB109" s="300"/>
      <c r="AC109" s="19"/>
      <c r="AD109" s="19"/>
      <c r="AE109" s="286" t="str">
        <f>AdresseBezug(Tabellen!$O$5:$O$14)</f>
        <v>O5:O14</v>
      </c>
      <c r="AF109" s="286" t="str">
        <f>VLOOKUP(N109,Tabellen!$O$5:$R$57,3,FALSE)</f>
        <v>X468:X481</v>
      </c>
      <c r="AG109" s="286" t="str">
        <f t="shared" ca="1" si="37"/>
        <v>p468:p488</v>
      </c>
      <c r="AH109" s="288" t="b">
        <f t="shared" ca="1" si="38"/>
        <v>0</v>
      </c>
      <c r="AI109" s="288" t="b">
        <f t="shared" ca="1" si="39"/>
        <v>0</v>
      </c>
      <c r="AJ109" s="287">
        <f>IF(ISERROR(VLOOKUP(N109,Tabellen!$O$5:$R$58,4,FALSE)),1,VLOOKUP(N109,Tabellen!$O$5:$R$58,4,FALSE))</f>
        <v>3</v>
      </c>
      <c r="AK109" s="287">
        <f>IF(ISERROR(VLOOKUP(N109,Tabellen!$O$5:$S$58,5,FALSE)),1,VLOOKUP(N109,Tabellen!$O$5:$S$58,5,FALSE))</f>
        <v>3</v>
      </c>
    </row>
    <row r="110" spans="1:41" ht="15" thickTop="1" thickBot="1">
      <c r="A110" s="1171">
        <f t="shared" si="45"/>
        <v>3</v>
      </c>
      <c r="B110" s="542">
        <v>160</v>
      </c>
      <c r="C110" s="736" t="s">
        <v>3422</v>
      </c>
      <c r="D110" s="543">
        <v>80</v>
      </c>
      <c r="E110" s="1219" t="str">
        <f t="shared" si="36"/>
        <v>ISO10456 Tab3: 18.2 Nutzholz - rho 500 [0,13]</v>
      </c>
      <c r="F110" s="1219"/>
      <c r="G110" s="1220"/>
      <c r="H110" s="534">
        <f ca="1">CHOOSE(AK110,0,
VLOOKUP(P110,OFFSET(INDIRECT("Tabellen!"&amp;AG110),0,0,,2),2,FALSE),
VLOOKUP(P110,OFFSET(INDIRECT("Tabellen!"&amp;AG110),0,0,,3),3,FALSE),
VLOOKUP(P110,OFFSET(INDIRECT("Tabellen!"&amp;AG110),0,0,,3),3,FALSE),
RechLuftschichtRuhend(B110,MATCH(Bauteile!O110,Tabellen!$W$5:$W$12,0)),
VLOOKUP(O110,OFFSET(INDIRECT("Tabellen!"&amp;AF110),0,0,,7),7,FALSE))</f>
        <v>0.13</v>
      </c>
      <c r="I110" s="316">
        <f t="shared" ca="1" si="40"/>
        <v>1.2307692307692308</v>
      </c>
      <c r="J110" s="304"/>
      <c r="M110" s="490" t="str">
        <f t="shared" si="41"/>
        <v/>
      </c>
      <c r="N110" s="549" t="s">
        <v>1663</v>
      </c>
      <c r="O110" s="550" t="s">
        <v>1221</v>
      </c>
      <c r="P110" s="551" t="s">
        <v>1732</v>
      </c>
      <c r="R110" s="318"/>
      <c r="S110" s="1168">
        <f t="shared" si="42"/>
        <v>2</v>
      </c>
      <c r="T110" s="404">
        <f t="shared" ca="1" si="46"/>
        <v>0</v>
      </c>
      <c r="U110" s="404">
        <f t="shared" ca="1" si="43"/>
        <v>0</v>
      </c>
      <c r="V110" s="404">
        <f t="shared" ca="1" si="43"/>
        <v>1.2307692307692308</v>
      </c>
      <c r="X110" s="319">
        <f ca="1">IFERROR(IF(T110&gt;0,$H110,0)*T104,0)</f>
        <v>0</v>
      </c>
      <c r="Y110" s="319">
        <f>IFERROR(IF(LEFT($C110,1)="H",0,IF(U110&gt;0,$H110,IF($H110=0,0,VLOOKUP("H"&amp;Y105,$C106:$H117,6))))*U$104,0)</f>
        <v>0</v>
      </c>
      <c r="Z110" s="319">
        <f>IFERROR(IF(LEFT($C110,1)="H",0,IF(V110&gt;0,$H110,IF($H110=0,0,VLOOKUP("H"&amp;Z$105,$C106:$H117,6))))*V104,0)</f>
        <v>0</v>
      </c>
      <c r="AA110" s="404">
        <f t="shared" ca="1" si="44"/>
        <v>0</v>
      </c>
      <c r="AB110" s="299"/>
      <c r="AC110" s="19"/>
      <c r="AD110" s="19"/>
      <c r="AE110" s="286" t="str">
        <f>AdresseBezug(Tabellen!$O$5:$O$14)</f>
        <v>O5:O14</v>
      </c>
      <c r="AF110" s="286" t="str">
        <f>VLOOKUP(N110,Tabellen!$O$5:$R$57,3,FALSE)</f>
        <v>X786:X804</v>
      </c>
      <c r="AG110" s="286" t="str">
        <f t="shared" ca="1" si="37"/>
        <v>p902:p904</v>
      </c>
      <c r="AH110" s="288" t="b">
        <f t="shared" ca="1" si="38"/>
        <v>0</v>
      </c>
      <c r="AI110" s="288" t="b">
        <f t="shared" ca="1" si="39"/>
        <v>0</v>
      </c>
      <c r="AJ110" s="287">
        <f>IF(ISERROR(VLOOKUP(N110,Tabellen!$O$5:$R$58,4,FALSE)),1,VLOOKUP(N110,Tabellen!$O$5:$R$58,4,FALSE))</f>
        <v>3</v>
      </c>
      <c r="AK110" s="287">
        <f>IF(ISERROR(VLOOKUP(N110,Tabellen!$O$5:$S$58,5,FALSE)),1,VLOOKUP(N110,Tabellen!$O$5:$S$58,5,FALSE))</f>
        <v>4</v>
      </c>
    </row>
    <row r="111" spans="1:41" ht="15" thickTop="1" thickBot="1">
      <c r="A111" s="1171">
        <f t="shared" si="45"/>
        <v>4</v>
      </c>
      <c r="B111" s="542">
        <v>20</v>
      </c>
      <c r="C111" s="736"/>
      <c r="D111" s="543"/>
      <c r="E111" s="1219" t="str">
        <f t="shared" si="36"/>
        <v>ISO10456 Tab3: 19.9 OSB-Platten - rho 650 [0,13]</v>
      </c>
      <c r="F111" s="1219"/>
      <c r="G111" s="1220"/>
      <c r="H111" s="534">
        <f ca="1">CHOOSE(AK111,0,
VLOOKUP(P111,OFFSET(INDIRECT("Tabellen!"&amp;AG111),0,0,,2),2,FALSE),
VLOOKUP(P111,OFFSET(INDIRECT("Tabellen!"&amp;AG111),0,0,,3),3,FALSE),
VLOOKUP(P111,OFFSET(INDIRECT("Tabellen!"&amp;AG111),0,0,,3),3,FALSE),
RechLuftschichtRuhend(B111,MATCH(Bauteile!O111,Tabellen!$W$5:$W$12,0)),
VLOOKUP(O111,OFFSET(INDIRECT("Tabellen!"&amp;AF111),0,0,,7),7,FALSE))</f>
        <v>0.13</v>
      </c>
      <c r="I111" s="316">
        <f t="shared" ca="1" si="40"/>
        <v>0.15384615384615385</v>
      </c>
      <c r="J111" s="304"/>
      <c r="M111" s="490" t="str">
        <f t="shared" si="41"/>
        <v/>
      </c>
      <c r="N111" s="549" t="s">
        <v>1663</v>
      </c>
      <c r="O111" s="550" t="s">
        <v>1222</v>
      </c>
      <c r="P111" s="551" t="s">
        <v>1731</v>
      </c>
      <c r="R111" s="318"/>
      <c r="S111" s="1168" t="str">
        <f t="shared" si="42"/>
        <v/>
      </c>
      <c r="T111" s="404">
        <f t="shared" ca="1" si="46"/>
        <v>0.15384615384615385</v>
      </c>
      <c r="U111" s="404">
        <f t="shared" ca="1" si="43"/>
        <v>0.15384615384615385</v>
      </c>
      <c r="V111" s="404">
        <f t="shared" ca="1" si="43"/>
        <v>0.15384615384615385</v>
      </c>
      <c r="X111" s="319">
        <f ca="1">IFERROR(IF(T111&gt;0,$H111,0)*T104,0)</f>
        <v>0.10452000000000002</v>
      </c>
      <c r="Y111" s="319">
        <f ca="1">IFERROR(IF(LEFT($C111,1)="H",0,IF(U111&gt;0,$H111,IF($H111=0,0,VLOOKUP("H"&amp;Y105,$C106:$H117,6))))*U$104,0)</f>
        <v>1.2480000000000002E-2</v>
      </c>
      <c r="Z111" s="319">
        <f ca="1">IFERROR(IF(LEFT($C111,1)="H",0,IF(V111&gt;0,$H111,IF($H111=0,0,VLOOKUP("H"&amp;Z$105,$C106:$H117,6))))*V104,0)</f>
        <v>1.3000000000000001E-2</v>
      </c>
      <c r="AA111" s="404">
        <f t="shared" ca="1" si="44"/>
        <v>0.1538461538461538</v>
      </c>
      <c r="AB111" s="299"/>
      <c r="AC111" s="19"/>
      <c r="AD111" s="19"/>
      <c r="AE111" s="286" t="str">
        <f>AdresseBezug(Tabellen!$O$5:$O$14)</f>
        <v>O5:O14</v>
      </c>
      <c r="AF111" s="286" t="str">
        <f>VLOOKUP(N111,Tabellen!$O$5:$R$57,3,FALSE)</f>
        <v>X786:X804</v>
      </c>
      <c r="AG111" s="286" t="str">
        <f t="shared" ca="1" si="37"/>
        <v>p905:p917</v>
      </c>
      <c r="AH111" s="288" t="b">
        <f t="shared" ca="1" si="38"/>
        <v>0</v>
      </c>
      <c r="AI111" s="288" t="b">
        <f t="shared" ca="1" si="39"/>
        <v>0</v>
      </c>
      <c r="AJ111" s="287">
        <f>IF(ISERROR(VLOOKUP(N111,Tabellen!$O$5:$R$58,4,FALSE)),1,VLOOKUP(N111,Tabellen!$O$5:$R$58,4,FALSE))</f>
        <v>3</v>
      </c>
      <c r="AK111" s="287">
        <f>IF(ISERROR(VLOOKUP(N111,Tabellen!$O$5:$S$58,5,FALSE)),1,VLOOKUP(N111,Tabellen!$O$5:$S$58,5,FALSE))</f>
        <v>4</v>
      </c>
    </row>
    <row r="112" spans="1:41" ht="15" thickTop="1" thickBot="1">
      <c r="A112" s="1171" t="str">
        <f t="shared" si="45"/>
        <v/>
      </c>
      <c r="B112" s="544"/>
      <c r="C112" s="736"/>
      <c r="D112" s="545"/>
      <c r="E112" s="1219" t="str">
        <f t="shared" si="36"/>
        <v/>
      </c>
      <c r="F112" s="1219"/>
      <c r="G112" s="1220"/>
      <c r="H112" s="534">
        <f ca="1">CHOOSE(AK112,0,
VLOOKUP(P112,OFFSET(INDIRECT("Tabellen!"&amp;AG112),0,0,,2),2,FALSE),
VLOOKUP(P112,OFFSET(INDIRECT("Tabellen!"&amp;AG112),0,0,,3),3,FALSE),
VLOOKUP(P112,OFFSET(INDIRECT("Tabellen!"&amp;AG112),0,0,,3),3,FALSE),
RechLuftschichtRuhend(B112,MATCH(Bauteile!O112,Tabellen!$W$5:$W$12,0)),
VLOOKUP(O112,OFFSET(INDIRECT("Tabellen!"&amp;AF112),0,0,,7),7,FALSE))</f>
        <v>0</v>
      </c>
      <c r="I112" s="316">
        <f t="shared" ca="1" si="40"/>
        <v>0</v>
      </c>
      <c r="J112" s="304"/>
      <c r="M112" s="490" t="str">
        <f t="shared" si="41"/>
        <v/>
      </c>
      <c r="N112" s="552"/>
      <c r="O112" s="553"/>
      <c r="P112" s="554"/>
      <c r="R112" s="318"/>
      <c r="S112" s="1168" t="str">
        <f t="shared" si="42"/>
        <v/>
      </c>
      <c r="T112" s="404">
        <f t="shared" ca="1" si="46"/>
        <v>0</v>
      </c>
      <c r="U112" s="404">
        <f t="shared" ca="1" si="43"/>
        <v>0</v>
      </c>
      <c r="V112" s="404">
        <f t="shared" ca="1" si="43"/>
        <v>0</v>
      </c>
      <c r="X112" s="319">
        <f ca="1">IFERROR(IF(T112&gt;0,$H112,0)*T104,0)</f>
        <v>0</v>
      </c>
      <c r="Y112" s="319">
        <f ca="1">IFERROR(IF(LEFT($C112,1)="H",0,IF(U112&gt;0,$H112,IF($H112=0,0,VLOOKUP("H"&amp;Y105,$C106:$H117,6))))*U$104,0)</f>
        <v>0</v>
      </c>
      <c r="Z112" s="319">
        <f ca="1">IFERROR(IF(LEFT($C112,1)="H",0,IF(V112&gt;0,$H112,IF($H112=0,0,VLOOKUP("H"&amp;Z$105,$C106:$H117,6))))*V104,0)</f>
        <v>0</v>
      </c>
      <c r="AA112" s="404">
        <f t="shared" ca="1" si="44"/>
        <v>0</v>
      </c>
      <c r="AB112" s="299"/>
      <c r="AC112" s="19"/>
      <c r="AD112" s="19"/>
      <c r="AE112" s="286" t="str">
        <f>AdresseBezug(Tabellen!$O$5:$O$14)</f>
        <v>O5:O14</v>
      </c>
      <c r="AF112" s="286" t="e">
        <f>VLOOKUP(N112,Tabellen!$O$5:$R$57,3,FALSE)</f>
        <v>#N/A</v>
      </c>
      <c r="AG112" s="286" t="e">
        <f t="shared" ca="1" si="37"/>
        <v>#N/A</v>
      </c>
      <c r="AH112" s="288" t="b">
        <f t="shared" ca="1" si="38"/>
        <v>1</v>
      </c>
      <c r="AI112" s="288" t="b">
        <f t="shared" ca="1" si="39"/>
        <v>1</v>
      </c>
      <c r="AJ112" s="287">
        <f>IF(ISERROR(VLOOKUP(N112,Tabellen!$O$5:$R$58,4,FALSE)),1,VLOOKUP(N112,Tabellen!$O$5:$R$58,4,FALSE))</f>
        <v>1</v>
      </c>
      <c r="AK112" s="287">
        <f>IF(ISERROR(VLOOKUP(N112,Tabellen!$O$5:$S$58,5,FALSE)),1,VLOOKUP(N112,Tabellen!$O$5:$S$58,5,FALSE))</f>
        <v>1</v>
      </c>
    </row>
    <row r="113" spans="1:41" ht="15" thickTop="1" thickBot="1">
      <c r="A113" s="1171" t="str">
        <f t="shared" si="45"/>
        <v/>
      </c>
      <c r="B113" s="544"/>
      <c r="C113" s="736"/>
      <c r="D113" s="545"/>
      <c r="E113" s="1219" t="str">
        <f t="shared" si="36"/>
        <v/>
      </c>
      <c r="F113" s="1219"/>
      <c r="G113" s="1220"/>
      <c r="H113" s="534">
        <f ca="1">CHOOSE(AK113,0,
VLOOKUP(P113,OFFSET(INDIRECT("Tabellen!"&amp;AG113),0,0,,2),2,FALSE),
VLOOKUP(P113,OFFSET(INDIRECT("Tabellen!"&amp;AG113),0,0,,3),3,FALSE),
VLOOKUP(P113,OFFSET(INDIRECT("Tabellen!"&amp;AG113),0,0,,3),3,FALSE),
RechLuftschichtRuhend(B113,MATCH(Bauteile!O113,Tabellen!$W$5:$W$12,0)),
VLOOKUP(O113,OFFSET(INDIRECT("Tabellen!"&amp;AF113),0,0,,7),7,FALSE))</f>
        <v>0</v>
      </c>
      <c r="I113" s="316">
        <f t="shared" ca="1" si="40"/>
        <v>0</v>
      </c>
      <c r="J113" s="304"/>
      <c r="M113" s="490" t="str">
        <f t="shared" si="41"/>
        <v/>
      </c>
      <c r="N113" s="552"/>
      <c r="O113" s="553"/>
      <c r="P113" s="554"/>
      <c r="R113" s="318"/>
      <c r="S113" s="1168" t="str">
        <f t="shared" si="42"/>
        <v/>
      </c>
      <c r="T113" s="404">
        <f t="shared" ca="1" si="46"/>
        <v>0</v>
      </c>
      <c r="U113" s="404">
        <f t="shared" ca="1" si="43"/>
        <v>0</v>
      </c>
      <c r="V113" s="404">
        <f t="shared" ca="1" si="43"/>
        <v>0</v>
      </c>
      <c r="X113" s="319">
        <f ca="1">IFERROR(IF(T113&gt;0,$H113,0)*T104,0)</f>
        <v>0</v>
      </c>
      <c r="Y113" s="319">
        <f ca="1">IFERROR(IF(LEFT($C113,1)="H",0,IF(U113&gt;0,$H113,IF($H113=0,0,VLOOKUP("H"&amp;Y105,$C106:$H117,6))))*U$104,0)</f>
        <v>0</v>
      </c>
      <c r="Z113" s="319">
        <f ca="1">IFERROR(IF(LEFT($C113,1)="H",0,IF(V113&gt;0,$H113,IF($H113=0,0,VLOOKUP("H"&amp;Z$105,$C106:$H117,6))))*V104,0)</f>
        <v>0</v>
      </c>
      <c r="AA113" s="404">
        <f t="shared" ca="1" si="44"/>
        <v>0</v>
      </c>
      <c r="AB113" s="299"/>
      <c r="AC113" s="19"/>
      <c r="AD113" s="19"/>
      <c r="AE113" s="286" t="str">
        <f>AdresseBezug(Tabellen!$O$5:$O$14)</f>
        <v>O5:O14</v>
      </c>
      <c r="AF113" s="286" t="e">
        <f>VLOOKUP(N113,Tabellen!$O$5:$R$57,3,FALSE)</f>
        <v>#N/A</v>
      </c>
      <c r="AG113" s="286" t="e">
        <f t="shared" ca="1" si="37"/>
        <v>#N/A</v>
      </c>
      <c r="AH113" s="288" t="b">
        <f t="shared" ca="1" si="38"/>
        <v>1</v>
      </c>
      <c r="AI113" s="288" t="b">
        <f t="shared" ca="1" si="39"/>
        <v>1</v>
      </c>
      <c r="AJ113" s="287">
        <f>IF(ISERROR(VLOOKUP(N113,Tabellen!$O$5:$R$58,4,FALSE)),1,VLOOKUP(N113,Tabellen!$O$5:$R$58,4,FALSE))</f>
        <v>1</v>
      </c>
      <c r="AK113" s="287">
        <f>IF(ISERROR(VLOOKUP(N113,Tabellen!$O$5:$S$58,5,FALSE)),1,VLOOKUP(N113,Tabellen!$O$5:$S$58,5,FALSE))</f>
        <v>1</v>
      </c>
    </row>
    <row r="114" spans="1:41" ht="15" thickTop="1" thickBot="1">
      <c r="A114" s="1171" t="str">
        <f t="shared" si="45"/>
        <v/>
      </c>
      <c r="B114" s="544"/>
      <c r="C114" s="736"/>
      <c r="D114" s="545"/>
      <c r="E114" s="1219" t="str">
        <f t="shared" si="36"/>
        <v/>
      </c>
      <c r="F114" s="1219"/>
      <c r="G114" s="1220"/>
      <c r="H114" s="534">
        <f ca="1">CHOOSE(AK114,0,
VLOOKUP(P114,OFFSET(INDIRECT("Tabellen!"&amp;AG114),0,0,,2),2,FALSE),
VLOOKUP(P114,OFFSET(INDIRECT("Tabellen!"&amp;AG114),0,0,,3),3,FALSE),
VLOOKUP(P114,OFFSET(INDIRECT("Tabellen!"&amp;AG114),0,0,,3),3,FALSE),
RechLuftschichtRuhend(B114,MATCH(Bauteile!O114,Tabellen!$W$5:$W$12,0)),
VLOOKUP(O114,OFFSET(INDIRECT("Tabellen!"&amp;AF114),0,0,,7),7,FALSE))</f>
        <v>0</v>
      </c>
      <c r="I114" s="316">
        <f t="shared" ca="1" si="40"/>
        <v>0</v>
      </c>
      <c r="J114" s="304"/>
      <c r="M114" s="490" t="str">
        <f t="shared" si="41"/>
        <v/>
      </c>
      <c r="N114" s="552"/>
      <c r="O114" s="553"/>
      <c r="P114" s="554"/>
      <c r="R114" s="318"/>
      <c r="S114" s="1168" t="str">
        <f t="shared" si="42"/>
        <v/>
      </c>
      <c r="T114" s="404">
        <f t="shared" ca="1" si="46"/>
        <v>0</v>
      </c>
      <c r="U114" s="404">
        <f t="shared" ca="1" si="43"/>
        <v>0</v>
      </c>
      <c r="V114" s="404">
        <f t="shared" ca="1" si="43"/>
        <v>0</v>
      </c>
      <c r="X114" s="319">
        <f ca="1">IFERROR(IF(T114&gt;0,$H114,0)*T104,0)</f>
        <v>0</v>
      </c>
      <c r="Y114" s="319">
        <f ca="1">IFERROR(IF(LEFT($C114,1)="H",0,IF(U114&gt;0,$H114,IF($H114=0,0,VLOOKUP("H"&amp;Y105,$C106:$H117,6))))*U$104,0)</f>
        <v>0</v>
      </c>
      <c r="Z114" s="319">
        <f ca="1">IFERROR(IF(LEFT($C114,1)="H",0,IF(V114&gt;0,$H114,IF($H114=0,0,VLOOKUP("H"&amp;Z$105,$C106:$H117,6))))*V104,0)</f>
        <v>0</v>
      </c>
      <c r="AA114" s="404">
        <f t="shared" ca="1" si="44"/>
        <v>0</v>
      </c>
      <c r="AB114" s="299"/>
      <c r="AC114" s="19"/>
      <c r="AD114" s="19"/>
      <c r="AE114" s="286" t="str">
        <f>AdresseBezug(Tabellen!$O$5:$O$14)</f>
        <v>O5:O14</v>
      </c>
      <c r="AF114" s="286" t="e">
        <f>VLOOKUP(N114,Tabellen!$O$5:$R$57,3,FALSE)</f>
        <v>#N/A</v>
      </c>
      <c r="AG114" s="286" t="e">
        <f t="shared" ca="1" si="37"/>
        <v>#N/A</v>
      </c>
      <c r="AH114" s="288" t="b">
        <f t="shared" ca="1" si="38"/>
        <v>1</v>
      </c>
      <c r="AI114" s="288" t="b">
        <f t="shared" ca="1" si="39"/>
        <v>1</v>
      </c>
      <c r="AJ114" s="287">
        <f>IF(ISERROR(VLOOKUP(N114,Tabellen!$O$5:$R$58,4,FALSE)),1,VLOOKUP(N114,Tabellen!$O$5:$R$58,4,FALSE))</f>
        <v>1</v>
      </c>
      <c r="AK114" s="287">
        <f>IF(ISERROR(VLOOKUP(N114,Tabellen!$O$5:$S$58,5,FALSE)),1,VLOOKUP(N114,Tabellen!$O$5:$S$58,5,FALSE))</f>
        <v>1</v>
      </c>
    </row>
    <row r="115" spans="1:41" ht="15" thickTop="1" thickBot="1">
      <c r="A115" s="1171" t="str">
        <f t="shared" si="45"/>
        <v/>
      </c>
      <c r="B115" s="544"/>
      <c r="C115" s="736"/>
      <c r="D115" s="545"/>
      <c r="E115" s="1219" t="str">
        <f t="shared" si="36"/>
        <v/>
      </c>
      <c r="F115" s="1219"/>
      <c r="G115" s="1220"/>
      <c r="H115" s="534">
        <f ca="1">CHOOSE(AK115,0,
VLOOKUP(P115,OFFSET(INDIRECT("Tabellen!"&amp;AG115),0,0,,2),2,FALSE),
VLOOKUP(P115,OFFSET(INDIRECT("Tabellen!"&amp;AG115),0,0,,3),3,FALSE),
VLOOKUP(P115,OFFSET(INDIRECT("Tabellen!"&amp;AG115),0,0,,3),3,FALSE),
RechLuftschichtRuhend(B115,MATCH(Bauteile!O115,Tabellen!$W$5:$W$12,0)),
VLOOKUP(O115,OFFSET(INDIRECT("Tabellen!"&amp;AF115),0,0,,7),7,FALSE))</f>
        <v>0</v>
      </c>
      <c r="I115" s="316">
        <f t="shared" ca="1" si="40"/>
        <v>0</v>
      </c>
      <c r="J115" s="304"/>
      <c r="M115" s="490" t="str">
        <f t="shared" si="41"/>
        <v/>
      </c>
      <c r="N115" s="552"/>
      <c r="O115" s="553"/>
      <c r="P115" s="554"/>
      <c r="R115" s="318"/>
      <c r="S115" s="1168" t="str">
        <f t="shared" si="42"/>
        <v/>
      </c>
      <c r="T115" s="404">
        <f t="shared" ca="1" si="46"/>
        <v>0</v>
      </c>
      <c r="U115" s="404">
        <f t="shared" ca="1" si="43"/>
        <v>0</v>
      </c>
      <c r="V115" s="404">
        <f t="shared" ca="1" si="43"/>
        <v>0</v>
      </c>
      <c r="X115" s="319">
        <f ca="1">IFERROR(IF(T115&gt;0,$H115,0)*T104,0)</f>
        <v>0</v>
      </c>
      <c r="Y115" s="319">
        <f ca="1">IFERROR(IF(LEFT($C115,1)="H",0,IF(U115&gt;0,$H115,IF($H115=0,0,VLOOKUP("H"&amp;Y105,$C106:$H117,6))))*U$104,0)</f>
        <v>0</v>
      </c>
      <c r="Z115" s="319">
        <f ca="1">IFERROR(IF(LEFT($C115,1)="H",0,IF(V115&gt;0,$H115,IF($H115=0,0,VLOOKUP("H"&amp;Z$105,$C106:$H117,6))))*V104,0)</f>
        <v>0</v>
      </c>
      <c r="AA115" s="404">
        <f t="shared" ca="1" si="44"/>
        <v>0</v>
      </c>
      <c r="AB115" s="299"/>
      <c r="AC115" s="19"/>
      <c r="AD115" s="19"/>
      <c r="AE115" s="286" t="str">
        <f>AdresseBezug(Tabellen!$O$5:$O$14)</f>
        <v>O5:O14</v>
      </c>
      <c r="AF115" s="286" t="e">
        <f>VLOOKUP(N115,Tabellen!$O$5:$R$57,3,FALSE)</f>
        <v>#N/A</v>
      </c>
      <c r="AG115" s="286" t="e">
        <f t="shared" ca="1" si="37"/>
        <v>#N/A</v>
      </c>
      <c r="AH115" s="288" t="b">
        <f t="shared" ca="1" si="38"/>
        <v>1</v>
      </c>
      <c r="AI115" s="288" t="b">
        <f t="shared" ca="1" si="39"/>
        <v>1</v>
      </c>
      <c r="AJ115" s="287">
        <f>IF(ISERROR(VLOOKUP(N115,Tabellen!$O$5:$R$58,4,FALSE)),1,VLOOKUP(N115,Tabellen!$O$5:$R$58,4,FALSE))</f>
        <v>1</v>
      </c>
      <c r="AK115" s="287">
        <f>IF(ISERROR(VLOOKUP(N115,Tabellen!$O$5:$S$58,5,FALSE)),1,VLOOKUP(N115,Tabellen!$O$5:$S$58,5,FALSE))</f>
        <v>1</v>
      </c>
    </row>
    <row r="116" spans="1:41" ht="15" thickTop="1" thickBot="1">
      <c r="A116" s="1171" t="str">
        <f t="shared" si="45"/>
        <v/>
      </c>
      <c r="B116" s="544"/>
      <c r="C116" s="736"/>
      <c r="D116" s="545"/>
      <c r="E116" s="1219" t="str">
        <f t="shared" si="36"/>
        <v/>
      </c>
      <c r="F116" s="1219"/>
      <c r="G116" s="1220"/>
      <c r="H116" s="534">
        <f ca="1">CHOOSE(AK116,0,
VLOOKUP(P116,OFFSET(INDIRECT("Tabellen!"&amp;AG116),0,0,,2),2,FALSE),
VLOOKUP(P116,OFFSET(INDIRECT("Tabellen!"&amp;AG116),0,0,,3),3,FALSE),
VLOOKUP(P116,OFFSET(INDIRECT("Tabellen!"&amp;AG116),0,0,,3),3,FALSE),
RechLuftschichtRuhend(B116,MATCH(Bauteile!O116,Tabellen!$W$5:$W$12,0)),
VLOOKUP(O116,OFFSET(INDIRECT("Tabellen!"&amp;AF116),0,0,,7),7,FALSE))</f>
        <v>0</v>
      </c>
      <c r="I116" s="316">
        <f t="shared" ca="1" si="40"/>
        <v>0</v>
      </c>
      <c r="J116" s="304"/>
      <c r="M116" s="490" t="str">
        <f t="shared" si="41"/>
        <v/>
      </c>
      <c r="N116" s="552"/>
      <c r="O116" s="553"/>
      <c r="P116" s="554"/>
      <c r="R116" s="318"/>
      <c r="S116" s="1168" t="str">
        <f t="shared" si="42"/>
        <v/>
      </c>
      <c r="T116" s="404">
        <f t="shared" ca="1" si="46"/>
        <v>0</v>
      </c>
      <c r="U116" s="404">
        <f t="shared" ca="1" si="43"/>
        <v>0</v>
      </c>
      <c r="V116" s="404">
        <f t="shared" ca="1" si="43"/>
        <v>0</v>
      </c>
      <c r="X116" s="319">
        <f ca="1">IFERROR(IF(T116&gt;0,$H116,0)*T104,0)</f>
        <v>0</v>
      </c>
      <c r="Y116" s="319">
        <f ca="1">IFERROR(IF(LEFT($C116,1)="H",0,IF(U116&gt;0,$H116,IF($H116=0,0,VLOOKUP("H"&amp;Y105,$C106:$H117,6))))*U$104,0)</f>
        <v>0</v>
      </c>
      <c r="Z116" s="319">
        <f ca="1">IFERROR(IF(LEFT($C116,1)="H",0,IF(V116&gt;0,$H116,IF($H116=0,0,VLOOKUP("H"&amp;Z$105,$C106:$H117,6))))*V104,0)</f>
        <v>0</v>
      </c>
      <c r="AA116" s="404">
        <f t="shared" ca="1" si="44"/>
        <v>0</v>
      </c>
      <c r="AB116" s="299"/>
      <c r="AC116" s="19"/>
      <c r="AD116" s="19"/>
      <c r="AE116" s="286" t="str">
        <f>AdresseBezug(Tabellen!$O$5:$O$14)</f>
        <v>O5:O14</v>
      </c>
      <c r="AF116" s="286" t="e">
        <f>VLOOKUP(N116,Tabellen!$O$5:$R$57,3,FALSE)</f>
        <v>#N/A</v>
      </c>
      <c r="AG116" s="286" t="e">
        <f t="shared" ca="1" si="37"/>
        <v>#N/A</v>
      </c>
      <c r="AH116" s="288" t="b">
        <f t="shared" ca="1" si="38"/>
        <v>1</v>
      </c>
      <c r="AI116" s="288" t="b">
        <f t="shared" ca="1" si="39"/>
        <v>1</v>
      </c>
      <c r="AJ116" s="287">
        <f>IF(ISERROR(VLOOKUP(N116,Tabellen!$O$5:$R$58,4,FALSE)),1,VLOOKUP(N116,Tabellen!$O$5:$R$58,4,FALSE))</f>
        <v>1</v>
      </c>
      <c r="AK116" s="287">
        <f>IF(ISERROR(VLOOKUP(N116,Tabellen!$O$5:$S$58,5,FALSE)),1,VLOOKUP(N116,Tabellen!$O$5:$S$58,5,FALSE))</f>
        <v>1</v>
      </c>
    </row>
    <row r="117" spans="1:41" ht="15" thickTop="1" thickBot="1">
      <c r="A117" s="1171" t="str">
        <f t="shared" si="45"/>
        <v/>
      </c>
      <c r="B117" s="544"/>
      <c r="C117" s="736"/>
      <c r="D117" s="545"/>
      <c r="E117" s="302" t="str">
        <f t="shared" si="36"/>
        <v/>
      </c>
      <c r="F117" s="302"/>
      <c r="G117" s="303"/>
      <c r="H117" s="534">
        <f ca="1">CHOOSE(AK117,0,
VLOOKUP(P117,OFFSET(INDIRECT("Tabellen!"&amp;AG117),0,0,,2),2,FALSE),
VLOOKUP(P117,OFFSET(INDIRECT("Tabellen!"&amp;AG117),0,0,,3),3,FALSE),
VLOOKUP(P117,OFFSET(INDIRECT("Tabellen!"&amp;AG117),0,0,,3),3,FALSE),
RechLuftschichtRuhend(B117,MATCH(Bauteile!O117,Tabellen!$W$5:$W$12,0)),
VLOOKUP(O117,OFFSET(INDIRECT("Tabellen!"&amp;AF117),0,0,,7),7,FALSE))</f>
        <v>0</v>
      </c>
      <c r="I117" s="316">
        <f t="shared" ca="1" si="40"/>
        <v>0</v>
      </c>
      <c r="J117" s="304"/>
      <c r="M117" s="490" t="str">
        <f t="shared" si="41"/>
        <v/>
      </c>
      <c r="N117" s="552"/>
      <c r="O117" s="553"/>
      <c r="P117" s="554"/>
      <c r="R117" s="318"/>
      <c r="S117" s="1168" t="str">
        <f t="shared" si="42"/>
        <v/>
      </c>
      <c r="T117" s="404">
        <f t="shared" ca="1" si="46"/>
        <v>0</v>
      </c>
      <c r="U117" s="404">
        <f t="shared" ca="1" si="43"/>
        <v>0</v>
      </c>
      <c r="V117" s="404">
        <f t="shared" ca="1" si="43"/>
        <v>0</v>
      </c>
      <c r="X117" s="319">
        <f ca="1">IFERROR(IF(T117&gt;0,$H117,0)*T104,0)</f>
        <v>0</v>
      </c>
      <c r="Y117" s="319">
        <f ca="1">IFERROR(IF(LEFT($C117,1)="H",0,IF(U117&gt;0,$H117,IF($H117=0,0,VLOOKUP("H"&amp;Y105,$C106:$H117,6))))*U$104,0)</f>
        <v>0</v>
      </c>
      <c r="Z117" s="319">
        <f ca="1">IFERROR(IF(LEFT($C117,1)="H",0,IF(V117&gt;0,$H117,IF($H117=0,0,VLOOKUP("H"&amp;Z$105,$C106:$H117,6))))*V104,0)</f>
        <v>0</v>
      </c>
      <c r="AA117" s="404">
        <f t="shared" ca="1" si="44"/>
        <v>0</v>
      </c>
      <c r="AB117" s="299"/>
      <c r="AC117" s="19"/>
      <c r="AD117" s="19"/>
      <c r="AE117" s="286" t="str">
        <f>AdresseBezug(Tabellen!$O$5:$O$14)</f>
        <v>O5:O14</v>
      </c>
      <c r="AF117" s="286" t="e">
        <f>VLOOKUP(N117,Tabellen!$O$5:$R$57,3,FALSE)</f>
        <v>#N/A</v>
      </c>
      <c r="AG117" s="286" t="e">
        <f t="shared" ca="1" si="37"/>
        <v>#N/A</v>
      </c>
      <c r="AH117" s="288" t="b">
        <f t="shared" ca="1" si="38"/>
        <v>1</v>
      </c>
      <c r="AI117" s="288" t="b">
        <f t="shared" ca="1" si="39"/>
        <v>1</v>
      </c>
      <c r="AJ117" s="287">
        <f>IF(ISERROR(VLOOKUP(N117,Tabellen!$O$5:$R$58,4,FALSE)),1,VLOOKUP(N117,Tabellen!$O$5:$R$58,4,FALSE))</f>
        <v>1</v>
      </c>
      <c r="AK117" s="287">
        <f>IF(ISERROR(VLOOKUP(N117,Tabellen!$O$5:$S$58,5,FALSE)),1,VLOOKUP(N117,Tabellen!$O$5:$S$58,5,FALSE))</f>
        <v>1</v>
      </c>
    </row>
    <row r="118" spans="1:41" ht="14.4" thickTop="1">
      <c r="A118" s="281" t="s">
        <v>812</v>
      </c>
      <c r="B118" s="284"/>
      <c r="C118" s="409" t="s">
        <v>1944</v>
      </c>
      <c r="D118" s="409" t="s">
        <v>1945</v>
      </c>
      <c r="E118" s="301" t="str">
        <f>E105</f>
        <v>Wärmestrom aufwärts - stark belüftet (Rse=Rsi)</v>
      </c>
      <c r="F118" s="301"/>
      <c r="G118" s="301"/>
      <c r="H118" s="284"/>
      <c r="I118" s="154"/>
      <c r="J118" s="315">
        <f>IF(E118&gt;0,VLOOKUP(E118,Tabellen!$W$5:$Y$12,3,FALSE),0)</f>
        <v>0.1</v>
      </c>
      <c r="M118" s="57"/>
      <c r="Q118" s="57"/>
      <c r="R118" s="57"/>
      <c r="S118" s="295" t="s">
        <v>812</v>
      </c>
      <c r="T118" s="403">
        <f>IF(T104&gt;0,$J118,0)</f>
        <v>0.1</v>
      </c>
      <c r="U118" s="403">
        <f>IF(U104&gt;0,$J118,0)</f>
        <v>0.1</v>
      </c>
      <c r="V118" s="403">
        <f>IF(V104&gt;0,$J118,0)</f>
        <v>0.1</v>
      </c>
      <c r="X118" s="320"/>
      <c r="Y118" s="320"/>
      <c r="Z118" s="320"/>
      <c r="AA118" s="403">
        <f>J118</f>
        <v>0.1</v>
      </c>
      <c r="AB118" s="299"/>
      <c r="AC118" s="19"/>
      <c r="AD118" s="19"/>
      <c r="AE118" s="713" t="s">
        <v>2459</v>
      </c>
      <c r="AF118" s="713"/>
      <c r="AG118" s="713"/>
      <c r="AH118" s="713" t="s">
        <v>1942</v>
      </c>
      <c r="AI118" s="713"/>
      <c r="AJ118" s="713"/>
      <c r="AL118" s="713" t="s">
        <v>2460</v>
      </c>
      <c r="AM118" s="714"/>
    </row>
    <row r="119" spans="1:41" ht="15">
      <c r="A119" s="364" t="s">
        <v>342</v>
      </c>
      <c r="B119" s="317">
        <f>SUMIF(C106:C117,"",B106:B117)+SUMIF(C106:C117,"G1",B106:B117)+SUMIF(C106:C117,"G2",B106:B117)</f>
        <v>232.5</v>
      </c>
      <c r="C119" s="317">
        <f>SUMIF(C106:C117,"G1",D106:D117)+SUMIF(C106:C117,"H1",D106:D117)</f>
        <v>625</v>
      </c>
      <c r="D119" s="317">
        <f>SUMIF(C106:C117,"G2",D106:D117)+SUMIF(C106:C117,"H2",D106:D117)</f>
        <v>800</v>
      </c>
      <c r="E119" s="532" t="s">
        <v>2514</v>
      </c>
      <c r="F119" s="533" t="str">
        <f>IF(AND(C119&gt;0,D119=0),"mit inhomogen Schichten (1 Ebene)",
IF(AND(C119&gt;0,D119&gt;0),"mit inhomogen Schichten (2 Ebenen, um 90° gedreht)",
IF(SUM(M106:M117)&gt;0,"mit keilförmiger Schicht","mit homogenen Schichten")))</f>
        <v>mit inhomogen Schichten (2 Ebenen, um 90° gedreht)</v>
      </c>
      <c r="G119" s="283"/>
      <c r="H119" s="152"/>
      <c r="I119" s="152"/>
      <c r="J119" s="274"/>
      <c r="K119" s="46" t="str">
        <f>IF(OR(C119&gt;0,D119&gt;0),AK119,IF(SUM(M106:M117)&gt;0,AO119,""))</f>
        <v>DIN EN ISO 6946 : 2018-03 Abschnitt 6.7.2.1 Anwendbarkeit:</v>
      </c>
      <c r="L119" s="46"/>
      <c r="M119" s="46"/>
      <c r="N119" s="46"/>
      <c r="O119" s="46"/>
      <c r="P119" s="46"/>
      <c r="Q119" s="57"/>
      <c r="R119" s="57"/>
      <c r="S119" s="295" t="s">
        <v>3427</v>
      </c>
      <c r="T119" s="404">
        <f ca="1">SUM(T105:T118)</f>
        <v>6.1181318681318677</v>
      </c>
      <c r="U119" s="404">
        <f ca="1">SUM(U105:U118)</f>
        <v>5.2829670329670328</v>
      </c>
      <c r="V119" s="404">
        <f ca="1">SUM(V105:V118)</f>
        <v>2.7774725274725274</v>
      </c>
      <c r="X119" s="320">
        <f ca="1">SUM(X106:X117)</f>
        <v>0.36180000000000001</v>
      </c>
      <c r="Y119" s="320">
        <f ca="1">SUM(Y106:Y117)</f>
        <v>5.2320000000000005E-2</v>
      </c>
      <c r="Z119" s="320">
        <f ca="1">SUM(Z106:Z117)</f>
        <v>5.4500000000000007E-2</v>
      </c>
      <c r="AA119" s="405">
        <f ca="1">SUM(AA105:AA118)</f>
        <v>4.9059700855136175</v>
      </c>
      <c r="AB119" s="297" t="s">
        <v>3417</v>
      </c>
      <c r="AC119" s="19"/>
      <c r="AD119" s="19"/>
      <c r="AK119" s="207" t="s">
        <v>3433</v>
      </c>
      <c r="AO119" s="207" t="s">
        <v>955</v>
      </c>
    </row>
    <row r="120" spans="1:41" ht="15">
      <c r="A120" s="275"/>
      <c r="B120" s="276" t="str">
        <f>IF(OR(C119&gt;0,D119&gt;0),AH120,IF(SUM(M106:M117)&gt;0,AL120,AE120))</f>
        <v>Wärmedurchgangswiderstand, oberer Grenzw.</v>
      </c>
      <c r="C120" s="276"/>
      <c r="G120" s="37"/>
      <c r="H120" s="521" t="str">
        <f>IF(OR(C119&gt;0,D119&gt;0),AI120,IF(SUM(M106:M117)&gt;0,AM120,AF120))</f>
        <v>R_tot;upper = 1 / ∑ (f_i / R_i) =</v>
      </c>
      <c r="I120" s="513">
        <f ca="1">IF(OR(C119&gt;0,D119&gt;0),AJ120,IF(SUM(M106:M117)&gt;0,AN120,AG120))</f>
        <v>5.3882728496146965</v>
      </c>
      <c r="J120" s="277" t="s">
        <v>809</v>
      </c>
      <c r="K120" s="1226" t="str">
        <f>IF(OR(C119&gt;0,D119&gt;0),AK120,IF(SUM(M106:M117)&gt;0,AO120,""))</f>
        <v>Das Verfahren gilt nicht für Fälle,  bei  denen  das  Verhältnis  des  oberen  Grenzwertes  des  Wärmedurchgangwiderstandes  zum  unteren Grenzwert  des  Wärmedurchgangwiderstandes  mehr  als  1,5  beträgt.</v>
      </c>
      <c r="L120" s="1227"/>
      <c r="M120" s="1227"/>
      <c r="N120" s="1227"/>
      <c r="O120" s="1227"/>
      <c r="P120" s="1227"/>
      <c r="Q120" s="57"/>
      <c r="R120" s="57"/>
      <c r="S120" s="1170" t="s">
        <v>3428</v>
      </c>
      <c r="T120" s="404">
        <f ca="1">IFERROR(T104/T119,0)</f>
        <v>0.13141266277503369</v>
      </c>
      <c r="U120" s="404">
        <f t="shared" ref="U120:V120" ca="1" si="47">IFERROR(U104/U119,0)</f>
        <v>1.8171606864274572E-2</v>
      </c>
      <c r="V120" s="404">
        <f t="shared" ca="1" si="47"/>
        <v>3.6003956478733931E-2</v>
      </c>
      <c r="X120" s="321"/>
      <c r="Y120" s="321"/>
      <c r="Z120" s="321"/>
      <c r="AA120" s="322"/>
      <c r="AB120" s="299"/>
      <c r="AC120" s="19"/>
      <c r="AD120" s="19"/>
      <c r="AE120" s="711" t="s">
        <v>2461</v>
      </c>
      <c r="AF120" s="710" t="s">
        <v>2466</v>
      </c>
      <c r="AG120" s="715">
        <f ca="1">T119</f>
        <v>6.1181318681318677</v>
      </c>
      <c r="AH120" s="711" t="s">
        <v>2468</v>
      </c>
      <c r="AI120" s="710" t="s">
        <v>3429</v>
      </c>
      <c r="AJ120" s="715">
        <f ca="1">IF(SUM(T120:V120)&gt;0,1/SUM(T120:V120),0)</f>
        <v>5.3882728496146965</v>
      </c>
      <c r="AK120" s="207" t="s">
        <v>2464</v>
      </c>
      <c r="AL120" s="711" t="s">
        <v>2470</v>
      </c>
      <c r="AM120" s="710" t="s">
        <v>2485</v>
      </c>
      <c r="AN120" s="715" t="str">
        <f>IF(SUM(M106:M117)&gt;0,SUM(M106:M117),"")</f>
        <v/>
      </c>
      <c r="AO120" s="207" t="s">
        <v>2416</v>
      </c>
    </row>
    <row r="121" spans="1:41" ht="15">
      <c r="A121" s="275"/>
      <c r="B121" s="276" t="str">
        <f>IF(OR(C119&gt;0,D119&gt;0),AH121,IF(SUM(M106:M117)&gt;0,AL121,AE121))</f>
        <v>dto., unterer Grenzwert</v>
      </c>
      <c r="G121" s="276"/>
      <c r="H121" s="521" t="str">
        <f>IF(OR(C119&gt;0,D119&gt;0),AI121,IF(SUM(M106:M117)&gt;0,AM121,AF121))</f>
        <v>R_tot;lower = Rsi + ∑ (f_j / R_j) + Rse =</v>
      </c>
      <c r="I121" s="513">
        <f ca="1">IF(OR(C119&gt;0,D119&gt;0),AJ121,IF(SUM(M106:M117)&gt;0,AN121,AG121))</f>
        <v>4.9059700855136175</v>
      </c>
      <c r="J121" s="277" t="s">
        <v>809</v>
      </c>
      <c r="K121" s="1226"/>
      <c r="L121" s="1227"/>
      <c r="M121" s="1227"/>
      <c r="N121" s="1227"/>
      <c r="O121" s="1227"/>
      <c r="P121" s="1227"/>
      <c r="Q121" s="57"/>
      <c r="R121" s="57"/>
      <c r="S121" s="297" t="s">
        <v>3426</v>
      </c>
      <c r="T121" s="405"/>
      <c r="U121" s="405"/>
      <c r="V121" s="405">
        <f ca="1">IF(SUM(T120:V120)&gt;0,1/SUM(T120:V120),0)</f>
        <v>5.3882728496146965</v>
      </c>
      <c r="AC121" s="19"/>
      <c r="AD121" s="19"/>
      <c r="AE121" s="711" t="s">
        <v>955</v>
      </c>
      <c r="AF121" s="710" t="s">
        <v>955</v>
      </c>
      <c r="AG121" s="715" t="s">
        <v>955</v>
      </c>
      <c r="AH121" s="711" t="s">
        <v>2465</v>
      </c>
      <c r="AI121" s="710" t="s">
        <v>3430</v>
      </c>
      <c r="AJ121" s="715">
        <f ca="1">AA119</f>
        <v>4.9059700855136175</v>
      </c>
      <c r="AK121" s="207" t="s">
        <v>955</v>
      </c>
      <c r="AL121" s="711" t="s">
        <v>2469</v>
      </c>
      <c r="AM121" s="710" t="s">
        <v>2467</v>
      </c>
      <c r="AN121" s="715" t="str">
        <f>IF(SUM(M106:M117)&gt;0,SUM(I105:J118),"")</f>
        <v/>
      </c>
      <c r="AO121" s="207" t="s">
        <v>955</v>
      </c>
    </row>
    <row r="122" spans="1:41" ht="15">
      <c r="A122" s="280"/>
      <c r="B122" s="281" t="str">
        <f>IF(OR(C119&gt;0,D119&gt;0),AH122,IF(SUM(M106:M117)&gt;0,AL122,AE122))</f>
        <v>Wärmedurchgangskoeffizient</v>
      </c>
      <c r="C122" s="154"/>
      <c r="D122" s="154"/>
      <c r="E122" s="154"/>
      <c r="F122" s="154"/>
      <c r="G122" s="154"/>
      <c r="H122" s="522" t="str">
        <f>IF(OR(C119&gt;0,D119&gt;0),AI122,IF(SUM(M106:M117)&gt;0,AM122,AF122))</f>
        <v>U = 2 / (R_tot;upper + R_tot;lower) =</v>
      </c>
      <c r="I122" s="514">
        <f ca="1">IF(OR(C119&gt;0,D119&gt;0),AJ122,IF(SUM(M106:M117)&gt;0,AN122,AG122))</f>
        <v>0.1942833496939492</v>
      </c>
      <c r="J122" s="282" t="s">
        <v>815</v>
      </c>
      <c r="K122" s="46" t="str">
        <f ca="1">IF(OR(C119&gt;0,D119&gt;0),AK122,IF(SUM(M106:M117)&gt;0,AO122,""))</f>
        <v>Hier: Rtot;upper / Rtot;lower = 1,10 &lt;= 1,5, d.h. zulässig</v>
      </c>
      <c r="L122" s="46"/>
      <c r="M122" s="46"/>
      <c r="N122" s="46"/>
      <c r="O122" s="46"/>
      <c r="P122" s="46"/>
      <c r="Q122" s="57"/>
      <c r="R122" s="57"/>
      <c r="T122" s="292"/>
      <c r="U122" s="57"/>
      <c r="V122" s="57"/>
      <c r="W122" s="57"/>
      <c r="X122" s="292"/>
      <c r="Y122" s="292"/>
      <c r="Z122" s="292"/>
      <c r="AC122" s="19"/>
      <c r="AD122" s="19"/>
      <c r="AE122" s="711" t="s">
        <v>813</v>
      </c>
      <c r="AF122" s="710" t="s">
        <v>2463</v>
      </c>
      <c r="AG122" s="715">
        <f ca="1">IF(AG120&gt;0,1/AG120,"")</f>
        <v>0.16344858554108668</v>
      </c>
      <c r="AH122" s="711" t="s">
        <v>813</v>
      </c>
      <c r="AI122" s="710" t="s">
        <v>3431</v>
      </c>
      <c r="AJ122" s="715">
        <f ca="1">IF((AJ120+AJ121)&gt;0,2/(AJ120+AJ121),0)</f>
        <v>0.1942833496939492</v>
      </c>
      <c r="AK122" s="207" t="str">
        <f ca="1">"Hier: Rtot;upper / Rtot;lower = "&amp; IF(AND(I121&gt;0,(C119+D119)&gt;0),TEXT(I120/I121,"0,00")&amp;IF(I120/I121&lt;=1.5," &lt;= 1,5, d.h. zulässig"," &gt; 1,5, d.h. nicht zulässig"),"nicht relevant")</f>
        <v>Hier: Rtot;upper / Rtot;lower = 1,10 &lt;= 1,5, d.h. zulässig</v>
      </c>
      <c r="AL122" s="711" t="s">
        <v>2462</v>
      </c>
      <c r="AM122" s="710" t="s">
        <v>2486</v>
      </c>
      <c r="AN122" s="715" t="str">
        <f>IF(SUM(M106:M117)&gt;0,IF(AN120*AN121&gt;0,1/AN120*LN(1+AN120/AN121),""),"")</f>
        <v/>
      </c>
      <c r="AO122" s="207" t="s">
        <v>2417</v>
      </c>
    </row>
    <row r="124" spans="1:41" ht="13.8" customHeight="1">
      <c r="A124" s="419" t="s">
        <v>819</v>
      </c>
      <c r="B124" s="1214" t="s">
        <v>2530</v>
      </c>
      <c r="C124" s="1215"/>
      <c r="D124" s="1215"/>
      <c r="E124" s="1215"/>
      <c r="F124" s="1216" t="s">
        <v>1943</v>
      </c>
      <c r="G124" s="1216"/>
      <c r="H124" s="1216"/>
      <c r="I124" s="523">
        <f ca="1">I144</f>
        <v>0.17835398371787425</v>
      </c>
      <c r="J124" s="737">
        <v>0.5</v>
      </c>
      <c r="K124" s="33"/>
      <c r="L124" s="87">
        <f>ROW(A125)</f>
        <v>125</v>
      </c>
      <c r="M124" s="87">
        <f>ROW(A144)</f>
        <v>144</v>
      </c>
      <c r="N124" s="515">
        <f>(ROW(A124)-ROW($A$36))/(ROW($A$58)-ROW($A$36))+1</f>
        <v>5</v>
      </c>
      <c r="O124" s="216"/>
      <c r="P124" s="216"/>
      <c r="Q124" s="87"/>
      <c r="R124" s="87"/>
      <c r="S124" s="297" t="s">
        <v>3414</v>
      </c>
      <c r="T124" s="294"/>
      <c r="U124" s="293"/>
      <c r="V124" s="293"/>
      <c r="X124" s="297" t="s">
        <v>3415</v>
      </c>
      <c r="Y124" s="297"/>
      <c r="Z124" s="297"/>
      <c r="AA124" s="294"/>
      <c r="AB124" s="298"/>
      <c r="AC124" s="19"/>
      <c r="AD124" s="19"/>
    </row>
    <row r="125" spans="1:41" ht="22.8">
      <c r="A125" s="310" t="s">
        <v>1125</v>
      </c>
      <c r="B125" s="365" t="s">
        <v>1115</v>
      </c>
      <c r="C125" s="1221" t="s">
        <v>3425</v>
      </c>
      <c r="D125" s="1222"/>
      <c r="E125" s="306" t="s">
        <v>1116</v>
      </c>
      <c r="F125" s="305"/>
      <c r="G125" s="305"/>
      <c r="H125" s="306" t="s">
        <v>1120</v>
      </c>
      <c r="I125" s="306" t="s">
        <v>1679</v>
      </c>
      <c r="J125" s="591" t="s">
        <v>1113</v>
      </c>
      <c r="K125" s="33"/>
      <c r="M125" s="57"/>
      <c r="N125" s="387"/>
      <c r="Q125" s="57"/>
      <c r="R125" s="57"/>
      <c r="S125" s="295" t="s">
        <v>3416</v>
      </c>
      <c r="T125" s="1167">
        <v>0</v>
      </c>
      <c r="U125" s="296">
        <v>1</v>
      </c>
      <c r="V125" s="296">
        <v>2</v>
      </c>
      <c r="X125" s="1169" t="s">
        <v>3413</v>
      </c>
      <c r="Y125" s="296"/>
      <c r="Z125" s="296"/>
      <c r="AA125" s="296" t="s">
        <v>3418</v>
      </c>
      <c r="AB125" s="298"/>
      <c r="AC125" s="19"/>
      <c r="AD125" s="19"/>
      <c r="AE125" s="272" t="s">
        <v>824</v>
      </c>
      <c r="AF125" s="197"/>
      <c r="AG125" s="197"/>
      <c r="AH125" s="195" t="s">
        <v>842</v>
      </c>
      <c r="AI125" s="199"/>
      <c r="AJ125" s="289" t="s">
        <v>1671</v>
      </c>
      <c r="AK125" s="289"/>
    </row>
    <row r="126" spans="1:41" ht="13.8">
      <c r="A126" s="312"/>
      <c r="B126" s="306" t="s">
        <v>807</v>
      </c>
      <c r="C126" s="306" t="s">
        <v>3424</v>
      </c>
      <c r="D126" s="306" t="s">
        <v>807</v>
      </c>
      <c r="E126" s="311" t="s">
        <v>806</v>
      </c>
      <c r="F126" s="770"/>
      <c r="G126" s="771"/>
      <c r="H126" s="306" t="s">
        <v>808</v>
      </c>
      <c r="I126" s="306" t="s">
        <v>1122</v>
      </c>
      <c r="J126" s="591" t="s">
        <v>809</v>
      </c>
      <c r="N126" s="387"/>
      <c r="S126" s="295" t="s">
        <v>1114</v>
      </c>
      <c r="T126" s="405">
        <f>1-U126-V126</f>
        <v>0.80400000000000005</v>
      </c>
      <c r="U126" s="405">
        <f>IF(C141=0,0,SUMIF($C128:$C139,"H"&amp;U125,$D128:$D139)/C141)</f>
        <v>9.6000000000000002E-2</v>
      </c>
      <c r="V126" s="405">
        <f>IF(D141=0,0,SUMIF($C128:$C139,"H"&amp;V125,$D128:$D139)/D141)</f>
        <v>0.1</v>
      </c>
      <c r="X126" s="407" t="s">
        <v>3423</v>
      </c>
      <c r="Y126" s="407" t="s">
        <v>1910</v>
      </c>
      <c r="Z126" s="407"/>
      <c r="AA126" s="406" t="s">
        <v>3432</v>
      </c>
      <c r="AB126" s="299"/>
      <c r="AC126" s="19"/>
      <c r="AD126" s="19"/>
      <c r="AE126" s="197"/>
      <c r="AF126" s="197"/>
      <c r="AG126" s="197"/>
      <c r="AH126" s="199"/>
      <c r="AI126" s="199"/>
      <c r="AJ126" s="289" t="s">
        <v>1672</v>
      </c>
      <c r="AK126" s="289"/>
    </row>
    <row r="127" spans="1:41" ht="14.4" thickBot="1">
      <c r="A127" s="279" t="s">
        <v>810</v>
      </c>
      <c r="B127" s="276"/>
      <c r="C127" s="276"/>
      <c r="D127" s="276"/>
      <c r="E127" s="1217" t="s">
        <v>2528</v>
      </c>
      <c r="F127" s="1218"/>
      <c r="G127" s="1218"/>
      <c r="H127" s="276"/>
      <c r="I127" s="278"/>
      <c r="J127" s="315">
        <f>IF(E127&gt;0,VLOOKUP(E127,Tabellen!$W$5:$Y$12,2,FALSE),0)</f>
        <v>0.1</v>
      </c>
      <c r="N127" s="418" t="s">
        <v>821</v>
      </c>
      <c r="O127" s="418" t="s">
        <v>818</v>
      </c>
      <c r="P127" s="418" t="s">
        <v>820</v>
      </c>
      <c r="S127" s="295" t="s">
        <v>810</v>
      </c>
      <c r="T127" s="403">
        <f>IF(T126&gt;0,$J127,0)</f>
        <v>0.1</v>
      </c>
      <c r="U127" s="403">
        <f>IF(U126&gt;0,$J127,0)</f>
        <v>0.1</v>
      </c>
      <c r="V127" s="403">
        <f>IF(V126&gt;0,$J127,0)</f>
        <v>0.1</v>
      </c>
      <c r="X127" s="1169">
        <v>0</v>
      </c>
      <c r="Y127" s="1169">
        <v>1</v>
      </c>
      <c r="Z127" s="1169">
        <v>2</v>
      </c>
      <c r="AA127" s="403">
        <f>J127</f>
        <v>0.1</v>
      </c>
      <c r="AB127" s="299"/>
      <c r="AC127" s="19"/>
      <c r="AD127" s="19"/>
      <c r="AE127" s="197" t="s">
        <v>821</v>
      </c>
      <c r="AF127" s="197" t="s">
        <v>818</v>
      </c>
      <c r="AG127" s="197" t="s">
        <v>820</v>
      </c>
      <c r="AH127" s="199" t="s">
        <v>1678</v>
      </c>
      <c r="AI127" s="199" t="s">
        <v>818</v>
      </c>
    </row>
    <row r="128" spans="1:41" ht="23.4" thickBot="1">
      <c r="A128" s="285">
        <v>1</v>
      </c>
      <c r="B128" s="540">
        <v>12.5</v>
      </c>
      <c r="C128" s="736"/>
      <c r="D128" s="541"/>
      <c r="E128" s="1219" t="str">
        <f t="shared" ref="E128:E139" si="48">IF(AJ128&gt;1,N128&amp;": "&amp;INDEX(N128:P128,AJ128),"")</f>
        <v>3 Bauplatten DIN4108-4 Tab1: 3.4 Gipsplatten - rho 900 [0,25]</v>
      </c>
      <c r="F128" s="1219"/>
      <c r="G128" s="1220"/>
      <c r="H128" s="534">
        <f ca="1">CHOOSE(AK128,0,
VLOOKUP(P128,OFFSET(INDIRECT("Tabellen!"&amp;AG128),0,0,,2),2,FALSE),
VLOOKUP(P128,OFFSET(INDIRECT("Tabellen!"&amp;AG128),0,0,,3),3,FALSE),
VLOOKUP(P128,OFFSET(INDIRECT("Tabellen!"&amp;AG128),0,0,,3),3,FALSE),
RechLuftschichtRuhend(B128,MATCH(Bauteile!O128,Tabellen!$W$5:$W$12,0)),
VLOOKUP(O128,OFFSET(INDIRECT("Tabellen!"&amp;AF128),0,0,,7),7,FALSE))</f>
        <v>0.25</v>
      </c>
      <c r="I128" s="316">
        <f ca="1">IF(C128="keilförmig","siehe unten",IF(H128&gt;0,B128/1000/H128,0))</f>
        <v>0.05</v>
      </c>
      <c r="J128" s="304" t="str">
        <f>IF(AND(C128="keilförmig",(C141+D141&gt;0)),"keilförmig nur homogen",
IF(AND(C127="",C128&lt;&gt;"",B128&lt;&gt;B129),"Dicke " &amp; C128 &amp; " &lt;&gt; Dicke "&amp; C129,
IF(AND(C127&lt;&gt;"",C128&lt;&gt;"",RIGHT(C127,1)&lt;&gt;RIGHT(C128,1),B128&lt;&gt;B129),"Dicke " &amp; C128 &amp; " &lt;&gt; Dicke "&amp; C129,
IF(COUNTIF(b01_x,"=a1")&gt;1,"a1 nur einmal",
IF(COUNTIF(b01_x,"=b1")&gt;1,"b1 nur einmal",
IF(COUNTIF(b01_x,"=a2")&gt;1,"a2 nur einmal",
IF(COUNTIF(b01_x,"=b2")&gt;1,"b2 nur einmal","")))))))</f>
        <v/>
      </c>
      <c r="M128" s="490" t="str">
        <f>IF(C128="keilförmig",IF(H128&gt;0,B128/1000/H128,0),"")</f>
        <v/>
      </c>
      <c r="N128" s="549" t="s">
        <v>2519</v>
      </c>
      <c r="O128" s="550" t="s">
        <v>3298</v>
      </c>
      <c r="P128" s="548" t="s">
        <v>3471</v>
      </c>
      <c r="R128" s="318"/>
      <c r="S128" s="1168" t="str">
        <f>IF(AND(C128&lt;&gt;"keilförmig",C128&lt;&gt;""),VALUE(RIGHT(C128,1)),"")</f>
        <v/>
      </c>
      <c r="T128" s="404">
        <f ca="1">IFERROR(IF($H128=0,0,IF(OR($C128=0,LEFT($C128,1)="G"),$B128/1000/$H128,0)),0)</f>
        <v>0.05</v>
      </c>
      <c r="U128" s="404">
        <f ca="1">IFERROR(IF($H128=0,0,IF($C128="H"&amp;U$103,$B128/1000/$H128,IF($C128="G"&amp;U$103,0,$T128))),0)</f>
        <v>0.05</v>
      </c>
      <c r="V128" s="404">
        <f ca="1">IFERROR(IF($H128=0,0,IF($C128="H"&amp;V$103,$B128/1000/$H128,IF($C128="G"&amp;V$103,0,$T128))),0)</f>
        <v>0.05</v>
      </c>
      <c r="X128" s="319">
        <f ca="1">IFERROR(IF(T128&gt;0,$H128,0)*T126,0)</f>
        <v>0.20100000000000001</v>
      </c>
      <c r="Y128" s="319">
        <f ca="1">IFERROR(IF(LEFT($C128,1)="H",0,IF(U128&gt;0,$H128,IF($H128=0,0,VLOOKUP("H"&amp;Y127,$C128:$H139,6))))*U$104,0)</f>
        <v>2.4E-2</v>
      </c>
      <c r="Z128" s="319">
        <f ca="1">IFERROR(IF(LEFT($C128,1)="H",0,IF(V128&gt;0,$H128,IF($H128=0,0,VLOOKUP("H"&amp;Z$105,$C128:$H139,6))))*V126,0)</f>
        <v>2.5000000000000001E-2</v>
      </c>
      <c r="AA128" s="404">
        <f ca="1">IFERROR($B128/1000/SUM(X128:Z128),0)</f>
        <v>0.05</v>
      </c>
      <c r="AB128" s="299"/>
      <c r="AC128" s="19"/>
      <c r="AD128" s="19"/>
      <c r="AE128" s="286" t="str">
        <f>AdresseBezug(Tabellen!$O$5:$O$14)</f>
        <v>O5:O14</v>
      </c>
      <c r="AF128" s="286" t="str">
        <f>VLOOKUP(N128,Tabellen!$O$5:$R$57,3,FALSE)</f>
        <v>X67:X70</v>
      </c>
      <c r="AG128" s="286" t="str">
        <f t="shared" ref="AG128:AG139" ca="1" si="49">VLOOKUP(O128,OFFSET(INDIRECT("Tabellen!"&amp;AF128),0,0,,2),2,FALSE)</f>
        <v>q184:q185</v>
      </c>
      <c r="AH128" s="288" t="b">
        <f t="shared" ref="AH128:AH139" ca="1" si="50">ISERROR(VLOOKUP(O128,INDIRECT("Tabellen!"&amp;AF128),1,FALSE))</f>
        <v>0</v>
      </c>
      <c r="AI128" s="288" t="b">
        <f t="shared" ref="AI128:AI139" ca="1" si="51">ISERROR(VLOOKUP(P128,INDIRECT("Tabellen!"&amp;AG128),1,FALSE))</f>
        <v>0</v>
      </c>
      <c r="AJ128" s="287">
        <f>IF(ISERROR(VLOOKUP(N128,Tabellen!$O$5:$R$58,4,FALSE)),1,VLOOKUP(N128,Tabellen!$O$5:$R$58,4,FALSE))</f>
        <v>3</v>
      </c>
      <c r="AK128" s="287">
        <f>IF(ISERROR(VLOOKUP(N128,Tabellen!$O$5:$S$58,5,FALSE)),1,VLOOKUP(N128,Tabellen!$O$5:$S$58,5,FALSE))</f>
        <v>2</v>
      </c>
    </row>
    <row r="129" spans="1:41" ht="15" thickTop="1" thickBot="1">
      <c r="A129" s="285">
        <v>2</v>
      </c>
      <c r="B129" s="542">
        <v>20</v>
      </c>
      <c r="C129" s="736"/>
      <c r="D129" s="543"/>
      <c r="E129" s="1219" t="str">
        <f t="shared" si="48"/>
        <v>ISO10456 Tab3: 19.9 OSB-Platten - rho 650 [0,13]</v>
      </c>
      <c r="F129" s="1219"/>
      <c r="G129" s="1220"/>
      <c r="H129" s="534">
        <f ca="1">CHOOSE(AK129,0,
VLOOKUP(P129,OFFSET(INDIRECT("Tabellen!"&amp;AG129),0,0,,2),2,FALSE),
VLOOKUP(P129,OFFSET(INDIRECT("Tabellen!"&amp;AG129),0,0,,3),3,FALSE),
VLOOKUP(P129,OFFSET(INDIRECT("Tabellen!"&amp;AG129),0,0,,3),3,FALSE),
RechLuftschichtRuhend(B129,MATCH(Bauteile!O129,Tabellen!$W$5:$W$12,0)),
VLOOKUP(O129,OFFSET(INDIRECT("Tabellen!"&amp;AF129),0,0,,7),7,FALSE))</f>
        <v>0.13</v>
      </c>
      <c r="I129" s="316">
        <f t="shared" ref="I129:I139" ca="1" si="52">IF(C129="keilförmig","siehe unten",IF(H129&gt;0,B129/1000/H129,0))</f>
        <v>0.15384615384615385</v>
      </c>
      <c r="J129" s="304" t="str">
        <f>IF(AND(C129="keilförmig",(C141+D141&gt;0)),"keilförmig nur homogen",
IF(AND(C128="",C129&lt;&gt;"",B129&lt;&gt;B130),"Dicke " &amp; C129 &amp; " &lt;&gt; Dicke "&amp; C130,
IF(AND(C128&lt;&gt;"",C129&lt;&gt;"",RIGHT(C128,1)&lt;&gt;RIGHT(C129,1),B129&lt;&gt;B130),"Dicke " &amp; C129 &amp; " &lt;&gt; Dicke "&amp; C130,
IF(COUNTIF(b01_x,"=a1")&gt;1,"a1 nur einmal",
IF(COUNTIF(b01_x,"=b1")&gt;1,"b1 nur einmal",
IF(COUNTIF(b01_x,"=a2")&gt;1,"a2 nur einmal",
IF(COUNTIF(b01_x,"=b2")&gt;1,"b2 nur einmal","")))))))</f>
        <v/>
      </c>
      <c r="M129" s="490" t="str">
        <f t="shared" ref="M129:M139" si="53">IF(C129="keilförmig",IF(H129&gt;0,B129/1000/H129,0),"")</f>
        <v/>
      </c>
      <c r="N129" s="546" t="s">
        <v>1663</v>
      </c>
      <c r="O129" s="547" t="s">
        <v>1222</v>
      </c>
      <c r="P129" s="548" t="s">
        <v>1731</v>
      </c>
      <c r="R129" s="318"/>
      <c r="S129" s="1168" t="str">
        <f t="shared" ref="S129:S139" si="54">IF(AND(C129&lt;&gt;"keilförmig",C129&lt;&gt;""),VALUE(RIGHT(C129,1)),"")</f>
        <v/>
      </c>
      <c r="T129" s="404">
        <f t="shared" ref="T129:T139" ca="1" si="55">IFERROR(IF($H129=0,0,IF(OR($C129=0,LEFT($C129,1)="G"),$B129/1000/$H129,0)),0)</f>
        <v>0.15384615384615385</v>
      </c>
      <c r="U129" s="404">
        <f t="shared" ref="U129:V139" ca="1" si="56">IFERROR(IF($H129=0,0,IF($C129="H"&amp;U$103,$B129/1000/$H129,IF($C129="G"&amp;U$103,0,$T129))),0)</f>
        <v>0.15384615384615385</v>
      </c>
      <c r="V129" s="404">
        <f t="shared" ca="1" si="56"/>
        <v>0.15384615384615385</v>
      </c>
      <c r="X129" s="319">
        <f ca="1">IFERROR(IF(T129&gt;0,$H129,0)*T126,0)</f>
        <v>0.10452000000000002</v>
      </c>
      <c r="Y129" s="319">
        <f ca="1">IFERROR(IF(LEFT($C129,1)="H",0,IF(U129&gt;0,$H129,IF($H129=0,0,VLOOKUP("H"&amp;Y127,$C128:$H139,6))))*U$104,0)</f>
        <v>1.2480000000000002E-2</v>
      </c>
      <c r="Z129" s="319">
        <f ca="1">IFERROR(IF(LEFT($C129,1)="H",0,IF(V129&gt;0,$H129,IF($H129=0,0,VLOOKUP("H"&amp;Z$105,$C128:$H139,6))))*V126,0)</f>
        <v>1.3000000000000001E-2</v>
      </c>
      <c r="AA129" s="404">
        <f t="shared" ref="AA129:AA139" ca="1" si="57">IFERROR($B129/1000/SUM(X129:Z129),0)</f>
        <v>0.1538461538461538</v>
      </c>
      <c r="AB129" s="299"/>
      <c r="AC129" s="19"/>
      <c r="AD129" s="19"/>
      <c r="AE129" s="286" t="str">
        <f>AdresseBezug(Tabellen!$O$5:$O$14)</f>
        <v>O5:O14</v>
      </c>
      <c r="AF129" s="286" t="str">
        <f>VLOOKUP(N129,Tabellen!$O$5:$R$57,3,FALSE)</f>
        <v>X786:X804</v>
      </c>
      <c r="AG129" s="286" t="str">
        <f t="shared" ca="1" si="49"/>
        <v>p905:p917</v>
      </c>
      <c r="AH129" s="288" t="b">
        <f t="shared" ca="1" si="50"/>
        <v>0</v>
      </c>
      <c r="AI129" s="288" t="b">
        <f t="shared" ca="1" si="51"/>
        <v>0</v>
      </c>
      <c r="AJ129" s="287">
        <f>IF(ISERROR(VLOOKUP(N129,Tabellen!$O$5:$R$58,4,FALSE)),1,VLOOKUP(N129,Tabellen!$O$5:$R$58,4,FALSE))</f>
        <v>3</v>
      </c>
      <c r="AK129" s="287">
        <f>IF(ISERROR(VLOOKUP(N129,Tabellen!$O$5:$S$58,5,FALSE)),1,VLOOKUP(N129,Tabellen!$O$5:$S$58,5,FALSE))</f>
        <v>4</v>
      </c>
    </row>
    <row r="130" spans="1:41" ht="24" thickTop="1" thickBot="1">
      <c r="A130" s="285">
        <v>3</v>
      </c>
      <c r="B130" s="542">
        <v>40</v>
      </c>
      <c r="C130" s="736" t="s">
        <v>3419</v>
      </c>
      <c r="D130" s="543">
        <v>565</v>
      </c>
      <c r="E130" s="1219" t="str">
        <f t="shared" si="48"/>
        <v>5 Wärmedämmstoffe DIN4108-4 Tab2: 5.1 Mineralwolle (MW) [0,035]</v>
      </c>
      <c r="F130" s="1219"/>
      <c r="G130" s="1220"/>
      <c r="H130" s="534">
        <f ca="1">CHOOSE(AK130,0,
VLOOKUP(P130,OFFSET(INDIRECT("Tabellen!"&amp;AG130),0,0,,2),2,FALSE),
VLOOKUP(P130,OFFSET(INDIRECT("Tabellen!"&amp;AG130),0,0,,3),3,FALSE),
VLOOKUP(P130,OFFSET(INDIRECT("Tabellen!"&amp;AG130),0,0,,3),3,FALSE),
RechLuftschichtRuhend(B130,MATCH(Bauteile!O130,Tabellen!$W$5:$W$12,0)),
VLOOKUP(O130,OFFSET(INDIRECT("Tabellen!"&amp;AF130),0,0,,7),7,FALSE))</f>
        <v>3.5000000000000003E-2</v>
      </c>
      <c r="I130" s="316">
        <f t="shared" ca="1" si="52"/>
        <v>1.1428571428571428</v>
      </c>
      <c r="J130" s="304" t="str">
        <f>IF(AND(C130="keilförmig",(C141+D141&gt;0)),"keilförmig nur homogen",
IF(AND(C129="",C130&lt;&gt;"",B130&lt;&gt;B131),"Dicke " &amp; C130 &amp; " &lt;&gt; Dicke "&amp; C131,
IF(AND(C129&lt;&gt;"",C130&lt;&gt;"",RIGHT(C129,1)&lt;&gt;RIGHT(C130,1),B130&lt;&gt;B131),"Dicke " &amp; C130 &amp; " &lt;&gt; Dicke "&amp; C131,
IF(COUNTIF(b01_x,"=a1")&gt;1,"a1 nur einmal",
IF(COUNTIF(b01_x,"=b1")&gt;1,"b1 nur einmal",
IF(COUNTIF(b01_x,"=a2")&gt;1,"a2 nur einmal",
IF(COUNTIF(b01_x,"=b2")&gt;1,"b2 nur einmal","")))))))</f>
        <v/>
      </c>
      <c r="M130" s="490" t="str">
        <f t="shared" si="53"/>
        <v/>
      </c>
      <c r="N130" s="546" t="s">
        <v>2419</v>
      </c>
      <c r="O130" s="547" t="s">
        <v>1464</v>
      </c>
      <c r="P130" s="548" t="s">
        <v>2529</v>
      </c>
      <c r="R130" s="318"/>
      <c r="S130" s="1168">
        <f t="shared" si="54"/>
        <v>1</v>
      </c>
      <c r="T130" s="404">
        <f t="shared" ca="1" si="55"/>
        <v>1.1428571428571428</v>
      </c>
      <c r="U130" s="404">
        <f t="shared" ca="1" si="56"/>
        <v>0</v>
      </c>
      <c r="V130" s="404">
        <f t="shared" ca="1" si="56"/>
        <v>1.1428571428571428</v>
      </c>
      <c r="X130" s="319">
        <f ca="1">IFERROR(IF(T130&gt;0,$H130,0)*T126,0)</f>
        <v>2.8140000000000005E-2</v>
      </c>
      <c r="Y130" s="319">
        <f ca="1">IFERROR(IF(LEFT($C130,1)="H",0,IF(U130&gt;0,$H130,IF($H130=0,0,VLOOKUP("H"&amp;Y127,$C128:$H139,6))))*U$104,0)</f>
        <v>1.2480000000000002E-2</v>
      </c>
      <c r="Z130" s="319">
        <f ca="1">IFERROR(IF(LEFT($C130,1)="H",0,IF(V130&gt;0,$H130,IF($H130=0,0,VLOOKUP("H"&amp;Z$105,$C128:$H139,6))))*V126,0)</f>
        <v>3.5000000000000005E-3</v>
      </c>
      <c r="AA130" s="404">
        <f t="shared" ca="1" si="57"/>
        <v>0.90661831368993639</v>
      </c>
      <c r="AB130" s="300"/>
      <c r="AC130" s="19"/>
      <c r="AD130" s="19"/>
      <c r="AE130" s="286" t="str">
        <f>AdresseBezug(Tabellen!$O$5:$O$14)</f>
        <v>O5:O14</v>
      </c>
      <c r="AF130" s="286" t="str">
        <f>VLOOKUP(N130,Tabellen!$O$5:$R$57,3,FALSE)</f>
        <v>X468:X481</v>
      </c>
      <c r="AG130" s="286" t="str">
        <f t="shared" ca="1" si="49"/>
        <v>p468:p488</v>
      </c>
      <c r="AH130" s="288" t="b">
        <f t="shared" ca="1" si="50"/>
        <v>0</v>
      </c>
      <c r="AI130" s="288" t="b">
        <f t="shared" ca="1" si="51"/>
        <v>0</v>
      </c>
      <c r="AJ130" s="287">
        <f>IF(ISERROR(VLOOKUP(N130,Tabellen!$O$5:$R$58,4,FALSE)),1,VLOOKUP(N130,Tabellen!$O$5:$R$58,4,FALSE))</f>
        <v>3</v>
      </c>
      <c r="AK130" s="287">
        <f>IF(ISERROR(VLOOKUP(N130,Tabellen!$O$5:$S$58,5,FALSE)),1,VLOOKUP(N130,Tabellen!$O$5:$S$58,5,FALSE))</f>
        <v>3</v>
      </c>
    </row>
    <row r="131" spans="1:41" ht="15" thickTop="1" thickBot="1">
      <c r="A131" s="285">
        <v>4</v>
      </c>
      <c r="B131" s="542">
        <v>40</v>
      </c>
      <c r="C131" s="736" t="s">
        <v>3420</v>
      </c>
      <c r="D131" s="543">
        <v>60</v>
      </c>
      <c r="E131" s="1219" t="str">
        <f t="shared" si="48"/>
        <v>ISO10456 Tab3: 18.2 Nutzholz - rho 500 [0,13]</v>
      </c>
      <c r="F131" s="1219"/>
      <c r="G131" s="1220"/>
      <c r="H131" s="534">
        <f ca="1">CHOOSE(AK131,0,
VLOOKUP(P131,OFFSET(INDIRECT("Tabellen!"&amp;AG131),0,0,,2),2,FALSE),
VLOOKUP(P131,OFFSET(INDIRECT("Tabellen!"&amp;AG131),0,0,,3),3,FALSE),
VLOOKUP(P131,OFFSET(INDIRECT("Tabellen!"&amp;AG131),0,0,,3),3,FALSE),
RechLuftschichtRuhend(B131,MATCH(Bauteile!O131,Tabellen!$W$5:$W$12,0)),
VLOOKUP(O131,OFFSET(INDIRECT("Tabellen!"&amp;AF131),0,0,,7),7,FALSE))</f>
        <v>0.13</v>
      </c>
      <c r="I131" s="316">
        <f t="shared" ca="1" si="52"/>
        <v>0.30769230769230771</v>
      </c>
      <c r="J131" s="304" t="str">
        <f>IF(AND(C131="keilförmig",(C141+D141&gt;0)),"keilförmig nur homogen",
IF(AND(C130="",C131&lt;&gt;"",B131&lt;&gt;B132),"Dicke " &amp; C131 &amp; " &lt;&gt; Dicke "&amp; C132,
IF(AND(C130&lt;&gt;"",C131&lt;&gt;"",RIGHT(C130,1)&lt;&gt;RIGHT(C131,1),B131&lt;&gt;B132),"Dicke " &amp; C131 &amp; " &lt;&gt; Dicke "&amp; C132,
IF(COUNTIF(b01_x,"=a1")&gt;1,"a1 nur einmal",
IF(COUNTIF(b01_x,"=b1")&gt;1,"b1 nur einmal",
IF(COUNTIF(b01_x,"=a2")&gt;1,"a2 nur einmal",
IF(COUNTIF(b01_x,"=b2")&gt;1,"b2 nur einmal","")))))))</f>
        <v/>
      </c>
      <c r="M131" s="490" t="str">
        <f t="shared" si="53"/>
        <v/>
      </c>
      <c r="N131" s="546" t="s">
        <v>1663</v>
      </c>
      <c r="O131" s="550" t="s">
        <v>1221</v>
      </c>
      <c r="P131" s="551" t="s">
        <v>1732</v>
      </c>
      <c r="R131" s="318"/>
      <c r="S131" s="1168">
        <f t="shared" si="54"/>
        <v>1</v>
      </c>
      <c r="T131" s="404">
        <f t="shared" ca="1" si="55"/>
        <v>0</v>
      </c>
      <c r="U131" s="404">
        <f t="shared" ca="1" si="56"/>
        <v>0.30769230769230771</v>
      </c>
      <c r="V131" s="404">
        <f t="shared" ca="1" si="56"/>
        <v>0</v>
      </c>
      <c r="X131" s="319">
        <f ca="1">IFERROR(IF(T131&gt;0,$H131,0)*T126,0)</f>
        <v>0</v>
      </c>
      <c r="Y131" s="319">
        <f>IFERROR(IF(LEFT($C131,1)="H",0,IF(U131&gt;0,$H131,IF($H131=0,0,VLOOKUP("H"&amp;Y127,$C128:$H139,6))))*U$104,0)</f>
        <v>0</v>
      </c>
      <c r="Z131" s="319">
        <f>IFERROR(IF(LEFT($C131,1)="H",0,IF(V131&gt;0,$H131,IF($H131=0,0,VLOOKUP("H"&amp;Z$105,$C128:$H139,6))))*V126,0)</f>
        <v>0</v>
      </c>
      <c r="AA131" s="404">
        <f t="shared" ca="1" si="57"/>
        <v>0</v>
      </c>
      <c r="AB131" s="300"/>
      <c r="AC131" s="19"/>
      <c r="AD131" s="19"/>
      <c r="AE131" s="286" t="str">
        <f>AdresseBezug(Tabellen!$O$5:$O$14)</f>
        <v>O5:O14</v>
      </c>
      <c r="AF131" s="286" t="str">
        <f>VLOOKUP(N131,Tabellen!$O$5:$R$57,3,FALSE)</f>
        <v>X786:X804</v>
      </c>
      <c r="AG131" s="286" t="str">
        <f t="shared" ca="1" si="49"/>
        <v>p902:p904</v>
      </c>
      <c r="AH131" s="288" t="b">
        <f t="shared" ca="1" si="50"/>
        <v>0</v>
      </c>
      <c r="AI131" s="288" t="b">
        <f t="shared" ca="1" si="51"/>
        <v>0</v>
      </c>
      <c r="AJ131" s="287">
        <f>IF(ISERROR(VLOOKUP(N131,Tabellen!$O$5:$R$58,4,FALSE)),1,VLOOKUP(N131,Tabellen!$O$5:$R$58,4,FALSE))</f>
        <v>3</v>
      </c>
      <c r="AK131" s="287">
        <f>IF(ISERROR(VLOOKUP(N131,Tabellen!$O$5:$S$58,5,FALSE)),1,VLOOKUP(N131,Tabellen!$O$5:$S$58,5,FALSE))</f>
        <v>4</v>
      </c>
    </row>
    <row r="132" spans="1:41" ht="24" thickTop="1" thickBot="1">
      <c r="A132" s="285">
        <v>5</v>
      </c>
      <c r="B132" s="542">
        <v>180</v>
      </c>
      <c r="C132" s="736" t="s">
        <v>3421</v>
      </c>
      <c r="D132" s="543">
        <v>720</v>
      </c>
      <c r="E132" s="1219" t="str">
        <f t="shared" si="48"/>
        <v>5 Wärmedämmstoffe DIN4108-4 Tab2: 5.1 Mineralwolle (MW) [0,035]</v>
      </c>
      <c r="F132" s="1219"/>
      <c r="G132" s="1220"/>
      <c r="H132" s="534">
        <f ca="1">CHOOSE(AK132,0,
VLOOKUP(P132,OFFSET(INDIRECT("Tabellen!"&amp;AG132),0,0,,2),2,FALSE),
VLOOKUP(P132,OFFSET(INDIRECT("Tabellen!"&amp;AG132),0,0,,3),3,FALSE),
VLOOKUP(P132,OFFSET(INDIRECT("Tabellen!"&amp;AG132),0,0,,3),3,FALSE),
RechLuftschichtRuhend(B132,MATCH(Bauteile!O132,Tabellen!$W$5:$W$12,0)),
VLOOKUP(O132,OFFSET(INDIRECT("Tabellen!"&amp;AF132),0,0,,7),7,FALSE))</f>
        <v>3.5000000000000003E-2</v>
      </c>
      <c r="I132" s="316">
        <f t="shared" ca="1" si="52"/>
        <v>5.1428571428571423</v>
      </c>
      <c r="J132" s="304" t="str">
        <f>IF(AND(C132="keilförmig",(C141+D141&gt;0)),"keilförmig nur homogen",
IF(AND(C131="",C132&lt;&gt;"",B132&lt;&gt;B133),"Dicke " &amp; C132 &amp; " &lt;&gt; Dicke "&amp; C133,
IF(AND(C131&lt;&gt;"",C132&lt;&gt;"",RIGHT(C131,1)&lt;&gt;RIGHT(C132,1),B132&lt;&gt;B133),"Dicke " &amp; C132 &amp; " &lt;&gt; Dicke "&amp; C133,
IF(COUNTIF(b01_x,"=a1")&gt;1,"a1 nur einmal",
IF(COUNTIF(b01_x,"=b1")&gt;1,"b1 nur einmal",
IF(COUNTIF(b01_x,"=a2")&gt;1,"a2 nur einmal",
IF(COUNTIF(b01_x,"=b2")&gt;1,"b2 nur einmal","")))))))</f>
        <v/>
      </c>
      <c r="M132" s="490" t="str">
        <f t="shared" si="53"/>
        <v/>
      </c>
      <c r="N132" s="546" t="s">
        <v>2419</v>
      </c>
      <c r="O132" s="547" t="s">
        <v>1464</v>
      </c>
      <c r="P132" s="548" t="s">
        <v>2529</v>
      </c>
      <c r="R132" s="318"/>
      <c r="S132" s="1168">
        <f t="shared" si="54"/>
        <v>2</v>
      </c>
      <c r="T132" s="404">
        <f t="shared" ca="1" si="55"/>
        <v>5.1428571428571423</v>
      </c>
      <c r="U132" s="404">
        <f t="shared" ca="1" si="56"/>
        <v>5.1428571428571423</v>
      </c>
      <c r="V132" s="404">
        <f t="shared" ca="1" si="56"/>
        <v>0</v>
      </c>
      <c r="X132" s="319">
        <f ca="1">IFERROR(IF(T132&gt;0,$H132,0)*T126,0)</f>
        <v>2.8140000000000005E-2</v>
      </c>
      <c r="Y132" s="319">
        <f ca="1">IFERROR(IF(LEFT($C132,1)="H",0,IF(U132&gt;0,$H132,IF($H132=0,0,VLOOKUP("H"&amp;Y127,$C128:$H139,6))))*U$104,0)</f>
        <v>3.3600000000000006E-3</v>
      </c>
      <c r="Z132" s="319">
        <f ca="1">IFERROR(IF(LEFT($C132,1)="H",0,IF(V132&gt;0,$H132,IF($H132=0,0,VLOOKUP("H"&amp;Z$105,$C128:$H139,6))))*V126,0)</f>
        <v>1.3000000000000001E-2</v>
      </c>
      <c r="AA132" s="404">
        <f t="shared" ca="1" si="57"/>
        <v>4.0449438202247183</v>
      </c>
      <c r="AB132" s="299"/>
      <c r="AC132" s="408"/>
      <c r="AD132" s="19"/>
      <c r="AE132" s="286" t="str">
        <f>AdresseBezug(Tabellen!$O$5:$O$14)</f>
        <v>O5:O14</v>
      </c>
      <c r="AF132" s="286" t="str">
        <f>VLOOKUP(N132,Tabellen!$O$5:$R$57,3,FALSE)</f>
        <v>X468:X481</v>
      </c>
      <c r="AG132" s="286" t="str">
        <f t="shared" ca="1" si="49"/>
        <v>p468:p488</v>
      </c>
      <c r="AH132" s="288" t="b">
        <f t="shared" ca="1" si="50"/>
        <v>0</v>
      </c>
      <c r="AI132" s="288" t="b">
        <f t="shared" ca="1" si="51"/>
        <v>0</v>
      </c>
      <c r="AJ132" s="287">
        <f>IF(ISERROR(VLOOKUP(N132,Tabellen!$O$5:$R$58,4,FALSE)),1,VLOOKUP(N132,Tabellen!$O$5:$R$58,4,FALSE))</f>
        <v>3</v>
      </c>
      <c r="AK132" s="287">
        <f>IF(ISERROR(VLOOKUP(N132,Tabellen!$O$5:$S$58,5,FALSE)),1,VLOOKUP(N132,Tabellen!$O$5:$S$58,5,FALSE))</f>
        <v>3</v>
      </c>
    </row>
    <row r="133" spans="1:41" ht="15" thickTop="1" thickBot="1">
      <c r="A133" s="285">
        <v>6</v>
      </c>
      <c r="B133" s="542">
        <v>180</v>
      </c>
      <c r="C133" s="736" t="s">
        <v>3422</v>
      </c>
      <c r="D133" s="543">
        <v>80</v>
      </c>
      <c r="E133" s="1219" t="str">
        <f t="shared" si="48"/>
        <v>ISO10456 Tab3: 18.2 Nutzholz - rho 500 [0,13]</v>
      </c>
      <c r="F133" s="1219"/>
      <c r="G133" s="1220"/>
      <c r="H133" s="534">
        <f ca="1">CHOOSE(AK133,0,
VLOOKUP(P133,OFFSET(INDIRECT("Tabellen!"&amp;AG133),0,0,,2),2,FALSE),
VLOOKUP(P133,OFFSET(INDIRECT("Tabellen!"&amp;AG133),0,0,,3),3,FALSE),
VLOOKUP(P133,OFFSET(INDIRECT("Tabellen!"&amp;AG133),0,0,,3),3,FALSE),
RechLuftschichtRuhend(B133,MATCH(Bauteile!O133,Tabellen!$W$5:$W$12,0)),
VLOOKUP(O133,OFFSET(INDIRECT("Tabellen!"&amp;AF133),0,0,,7),7,FALSE))</f>
        <v>0.13</v>
      </c>
      <c r="I133" s="316">
        <f t="shared" ca="1" si="52"/>
        <v>1.3846153846153846</v>
      </c>
      <c r="J133" s="304" t="str">
        <f>IF(AND(C133="keilförmig",(C141+D141&gt;0)),"keilförmig nur homogen",
IF(AND(C132="",C133&lt;&gt;"",B133&lt;&gt;B134),"Dicke " &amp; C133 &amp; " &lt;&gt; Dicke "&amp; C134,
IF(AND(C132&lt;&gt;"",C133&lt;&gt;"",RIGHT(C132,1)&lt;&gt;RIGHT(C133,1),B133&lt;&gt;B134),"Dicke " &amp; C133 &amp; " &lt;&gt; Dicke "&amp; C134,
IF(COUNTIF(b01_x,"=a1")&gt;1,"a1 nur einmal",
IF(COUNTIF(b01_x,"=b1")&gt;1,"b1 nur einmal",
IF(COUNTIF(b01_x,"=a2")&gt;1,"a2 nur einmal",
IF(COUNTIF(b01_x,"=b2")&gt;1,"b2 nur einmal","")))))))</f>
        <v/>
      </c>
      <c r="M133" s="490" t="str">
        <f t="shared" si="53"/>
        <v/>
      </c>
      <c r="N133" s="546" t="s">
        <v>1663</v>
      </c>
      <c r="O133" s="547" t="s">
        <v>1221</v>
      </c>
      <c r="P133" s="548" t="s">
        <v>1732</v>
      </c>
      <c r="R133" s="318"/>
      <c r="S133" s="1168">
        <f t="shared" si="54"/>
        <v>2</v>
      </c>
      <c r="T133" s="404">
        <f t="shared" ca="1" si="55"/>
        <v>0</v>
      </c>
      <c r="U133" s="404">
        <f t="shared" ca="1" si="56"/>
        <v>0</v>
      </c>
      <c r="V133" s="404">
        <f t="shared" ca="1" si="56"/>
        <v>1.3846153846153846</v>
      </c>
      <c r="X133" s="319">
        <f ca="1">IFERROR(IF(T133&gt;0,$H133,0)*T126,0)</f>
        <v>0</v>
      </c>
      <c r="Y133" s="319">
        <f>IFERROR(IF(LEFT($C133,1)="H",0,IF(U133&gt;0,$H133,IF($H133=0,0,VLOOKUP("H"&amp;Y127,$C128:$H139,6))))*U$104,0)</f>
        <v>0</v>
      </c>
      <c r="Z133" s="319">
        <f>IFERROR(IF(LEFT($C133,1)="H",0,IF(V133&gt;0,$H133,IF($H133=0,0,VLOOKUP("H"&amp;Z$105,$C128:$H139,6))))*V126,0)</f>
        <v>0</v>
      </c>
      <c r="AA133" s="404">
        <f t="shared" ca="1" si="57"/>
        <v>0</v>
      </c>
      <c r="AB133" s="299"/>
      <c r="AC133" s="19"/>
      <c r="AD133" s="19"/>
      <c r="AE133" s="286" t="str">
        <f>AdresseBezug(Tabellen!$O$5:$O$14)</f>
        <v>O5:O14</v>
      </c>
      <c r="AF133" s="286" t="str">
        <f>VLOOKUP(N133,Tabellen!$O$5:$R$57,3,FALSE)</f>
        <v>X786:X804</v>
      </c>
      <c r="AG133" s="286" t="str">
        <f t="shared" ca="1" si="49"/>
        <v>p902:p904</v>
      </c>
      <c r="AH133" s="288" t="b">
        <f t="shared" ca="1" si="50"/>
        <v>0</v>
      </c>
      <c r="AI133" s="288" t="b">
        <f t="shared" ca="1" si="51"/>
        <v>0</v>
      </c>
      <c r="AJ133" s="287">
        <f>IF(ISERROR(VLOOKUP(N133,Tabellen!$O$5:$R$58,4,FALSE)),1,VLOOKUP(N133,Tabellen!$O$5:$R$58,4,FALSE))</f>
        <v>3</v>
      </c>
      <c r="AK133" s="287">
        <f>IF(ISERROR(VLOOKUP(N133,Tabellen!$O$5:$S$58,5,FALSE)),1,VLOOKUP(N133,Tabellen!$O$5:$S$58,5,FALSE))</f>
        <v>4</v>
      </c>
    </row>
    <row r="134" spans="1:41" ht="15" thickTop="1" thickBot="1">
      <c r="A134" s="285">
        <v>7</v>
      </c>
      <c r="B134" s="544"/>
      <c r="C134" s="736"/>
      <c r="D134" s="545"/>
      <c r="E134" s="1219" t="str">
        <f t="shared" si="48"/>
        <v/>
      </c>
      <c r="F134" s="1219"/>
      <c r="G134" s="1220"/>
      <c r="H134" s="534">
        <f ca="1">CHOOSE(AK134,0,
VLOOKUP(P134,OFFSET(INDIRECT("Tabellen!"&amp;AG134),0,0,,2),2,FALSE),
VLOOKUP(P134,OFFSET(INDIRECT("Tabellen!"&amp;AG134),0,0,,3),3,FALSE),
VLOOKUP(P134,OFFSET(INDIRECT("Tabellen!"&amp;AG134),0,0,,3),3,FALSE),
RechLuftschichtRuhend(B134,MATCH(Bauteile!O134,Tabellen!$W$5:$W$12,0)),
VLOOKUP(O134,OFFSET(INDIRECT("Tabellen!"&amp;AF134),0,0,,7),7,FALSE))</f>
        <v>0</v>
      </c>
      <c r="I134" s="316">
        <f t="shared" ca="1" si="52"/>
        <v>0</v>
      </c>
      <c r="J134" s="304" t="str">
        <f>IF(AND(C134="keilförmig",(C141+D141&gt;0)),"keilförmig nur homogen",
IF(AND(C133="",C134&lt;&gt;"",B134&lt;&gt;B135),"Dicke " &amp; C134 &amp; " &lt;&gt; Dicke "&amp; C135,
IF(AND(C133&lt;&gt;"",C134&lt;&gt;"",RIGHT(C133,1)&lt;&gt;RIGHT(C134,1),B134&lt;&gt;B135),"Dicke " &amp; C134 &amp; " &lt;&gt; Dicke "&amp; C135,
IF(COUNTIF(b01_x,"=a1")&gt;1,"a1 nur einmal",
IF(COUNTIF(b01_x,"=b1")&gt;1,"b1 nur einmal",
IF(COUNTIF(b01_x,"=a2")&gt;1,"a2 nur einmal",
IF(COUNTIF(b01_x,"=b2")&gt;1,"b2 nur einmal","")))))))</f>
        <v/>
      </c>
      <c r="M134" s="490" t="str">
        <f t="shared" si="53"/>
        <v/>
      </c>
      <c r="N134" s="552"/>
      <c r="O134" s="553"/>
      <c r="P134" s="554"/>
      <c r="R134" s="318"/>
      <c r="S134" s="1168" t="str">
        <f t="shared" si="54"/>
        <v/>
      </c>
      <c r="T134" s="404">
        <f t="shared" ca="1" si="55"/>
        <v>0</v>
      </c>
      <c r="U134" s="404">
        <f t="shared" ca="1" si="56"/>
        <v>0</v>
      </c>
      <c r="V134" s="404">
        <f t="shared" ca="1" si="56"/>
        <v>0</v>
      </c>
      <c r="X134" s="319">
        <f ca="1">IFERROR(IF(T134&gt;0,$H134,0)*T126,0)</f>
        <v>0</v>
      </c>
      <c r="Y134" s="319">
        <f ca="1">IFERROR(IF(LEFT($C134,1)="H",0,IF(U134&gt;0,$H134,IF($H134=0,0,VLOOKUP("H"&amp;Y127,$C128:$H139,6))))*U$104,0)</f>
        <v>0</v>
      </c>
      <c r="Z134" s="319">
        <f ca="1">IFERROR(IF(LEFT($C134,1)="H",0,IF(V134&gt;0,$H134,IF($H134=0,0,VLOOKUP("H"&amp;Z$105,$C128:$H139,6))))*V126,0)</f>
        <v>0</v>
      </c>
      <c r="AA134" s="404">
        <f t="shared" ca="1" si="57"/>
        <v>0</v>
      </c>
      <c r="AB134" s="299"/>
      <c r="AC134" s="19"/>
      <c r="AD134" s="19"/>
      <c r="AE134" s="286" t="str">
        <f>AdresseBezug(Tabellen!$O$5:$O$14)</f>
        <v>O5:O14</v>
      </c>
      <c r="AF134" s="286" t="e">
        <f>VLOOKUP(N134,Tabellen!$O$5:$R$57,3,FALSE)</f>
        <v>#N/A</v>
      </c>
      <c r="AG134" s="286" t="e">
        <f t="shared" ca="1" si="49"/>
        <v>#N/A</v>
      </c>
      <c r="AH134" s="288" t="b">
        <f t="shared" ca="1" si="50"/>
        <v>1</v>
      </c>
      <c r="AI134" s="288" t="b">
        <f t="shared" ca="1" si="51"/>
        <v>1</v>
      </c>
      <c r="AJ134" s="287">
        <f>IF(ISERROR(VLOOKUP(N134,Tabellen!$O$5:$R$58,4,FALSE)),1,VLOOKUP(N134,Tabellen!$O$5:$R$58,4,FALSE))</f>
        <v>1</v>
      </c>
      <c r="AK134" s="287">
        <f>IF(ISERROR(VLOOKUP(N134,Tabellen!$O$5:$S$58,5,FALSE)),1,VLOOKUP(N134,Tabellen!$O$5:$S$58,5,FALSE))</f>
        <v>1</v>
      </c>
    </row>
    <row r="135" spans="1:41" ht="15" thickTop="1" thickBot="1">
      <c r="A135" s="285">
        <v>8</v>
      </c>
      <c r="B135" s="544"/>
      <c r="C135" s="736"/>
      <c r="D135" s="545"/>
      <c r="E135" s="1219" t="str">
        <f t="shared" si="48"/>
        <v/>
      </c>
      <c r="F135" s="1219"/>
      <c r="G135" s="1220"/>
      <c r="H135" s="534">
        <f ca="1">CHOOSE(AK135,0,
VLOOKUP(P135,OFFSET(INDIRECT("Tabellen!"&amp;AG135),0,0,,2),2,FALSE),
VLOOKUP(P135,OFFSET(INDIRECT("Tabellen!"&amp;AG135),0,0,,3),3,FALSE),
VLOOKUP(P135,OFFSET(INDIRECT("Tabellen!"&amp;AG135),0,0,,3),3,FALSE),
RechLuftschichtRuhend(B135,MATCH(Bauteile!O135,Tabellen!$W$5:$W$12,0)),
VLOOKUP(O135,OFFSET(INDIRECT("Tabellen!"&amp;AF135),0,0,,7),7,FALSE))</f>
        <v>0</v>
      </c>
      <c r="I135" s="316">
        <f t="shared" ca="1" si="52"/>
        <v>0</v>
      </c>
      <c r="J135" s="304" t="str">
        <f>IF(AND(C135="keilförmig",(C141+D141&gt;0)),"keilförmig nur homogen",
IF(AND(C134="",C135&lt;&gt;"",B135&lt;&gt;B136),"Dicke " &amp; C135 &amp; " &lt;&gt; Dicke "&amp; C136,
IF(AND(C134&lt;&gt;"",C135&lt;&gt;"",RIGHT(C134,1)&lt;&gt;RIGHT(C135,1),B135&lt;&gt;B136),"Dicke " &amp; C135 &amp; " &lt;&gt; Dicke "&amp; C136,
IF(COUNTIF(b01_x,"=a1")&gt;1,"a1 nur einmal",
IF(COUNTIF(b01_x,"=b1")&gt;1,"b1 nur einmal",
IF(COUNTIF(b01_x,"=a2")&gt;1,"a2 nur einmal",
IF(COUNTIF(b01_x,"=b2")&gt;1,"b2 nur einmal","")))))))</f>
        <v/>
      </c>
      <c r="M135" s="490" t="str">
        <f t="shared" si="53"/>
        <v/>
      </c>
      <c r="N135" s="552"/>
      <c r="O135" s="553"/>
      <c r="P135" s="554"/>
      <c r="R135" s="318"/>
      <c r="S135" s="1168" t="str">
        <f t="shared" si="54"/>
        <v/>
      </c>
      <c r="T135" s="404">
        <f t="shared" ca="1" si="55"/>
        <v>0</v>
      </c>
      <c r="U135" s="404">
        <f t="shared" ca="1" si="56"/>
        <v>0</v>
      </c>
      <c r="V135" s="404">
        <f t="shared" ca="1" si="56"/>
        <v>0</v>
      </c>
      <c r="X135" s="319">
        <f ca="1">IFERROR(IF(T135&gt;0,$H135,0)*T126,0)</f>
        <v>0</v>
      </c>
      <c r="Y135" s="319">
        <f ca="1">IFERROR(IF(LEFT($C135,1)="H",0,IF(U135&gt;0,$H135,IF($H135=0,0,VLOOKUP("H"&amp;Y127,$C128:$H139,6))))*U$104,0)</f>
        <v>0</v>
      </c>
      <c r="Z135" s="319">
        <f ca="1">IFERROR(IF(LEFT($C135,1)="H",0,IF(V135&gt;0,$H135,IF($H135=0,0,VLOOKUP("H"&amp;Z$105,$C128:$H139,6))))*V126,0)</f>
        <v>0</v>
      </c>
      <c r="AA135" s="404">
        <f t="shared" ca="1" si="57"/>
        <v>0</v>
      </c>
      <c r="AB135" s="299"/>
      <c r="AC135" s="19"/>
      <c r="AD135" s="19"/>
      <c r="AE135" s="286" t="str">
        <f>AdresseBezug(Tabellen!$O$5:$O$14)</f>
        <v>O5:O14</v>
      </c>
      <c r="AF135" s="286" t="e">
        <f>VLOOKUP(N135,Tabellen!$O$5:$R$57,3,FALSE)</f>
        <v>#N/A</v>
      </c>
      <c r="AG135" s="286" t="e">
        <f t="shared" ca="1" si="49"/>
        <v>#N/A</v>
      </c>
      <c r="AH135" s="288" t="b">
        <f t="shared" ca="1" si="50"/>
        <v>1</v>
      </c>
      <c r="AI135" s="288" t="b">
        <f t="shared" ca="1" si="51"/>
        <v>1</v>
      </c>
      <c r="AJ135" s="287">
        <f>IF(ISERROR(VLOOKUP(N135,Tabellen!$O$5:$R$58,4,FALSE)),1,VLOOKUP(N135,Tabellen!$O$5:$R$58,4,FALSE))</f>
        <v>1</v>
      </c>
      <c r="AK135" s="287">
        <f>IF(ISERROR(VLOOKUP(N135,Tabellen!$O$5:$S$58,5,FALSE)),1,VLOOKUP(N135,Tabellen!$O$5:$S$58,5,FALSE))</f>
        <v>1</v>
      </c>
    </row>
    <row r="136" spans="1:41" ht="15" thickTop="1" thickBot="1">
      <c r="A136" s="285">
        <v>9</v>
      </c>
      <c r="B136" s="544"/>
      <c r="C136" s="736"/>
      <c r="D136" s="545"/>
      <c r="E136" s="1219" t="str">
        <f t="shared" si="48"/>
        <v/>
      </c>
      <c r="F136" s="1219"/>
      <c r="G136" s="1220"/>
      <c r="H136" s="534">
        <f ca="1">CHOOSE(AK136,0,
VLOOKUP(P136,OFFSET(INDIRECT("Tabellen!"&amp;AG136),0,0,,2),2,FALSE),
VLOOKUP(P136,OFFSET(INDIRECT("Tabellen!"&amp;AG136),0,0,,3),3,FALSE),
VLOOKUP(P136,OFFSET(INDIRECT("Tabellen!"&amp;AG136),0,0,,3),3,FALSE),
RechLuftschichtRuhend(B136,MATCH(Bauteile!O136,Tabellen!$W$5:$W$12,0)),
VLOOKUP(O136,OFFSET(INDIRECT("Tabellen!"&amp;AF136),0,0,,7),7,FALSE))</f>
        <v>0</v>
      </c>
      <c r="I136" s="316">
        <f t="shared" ca="1" si="52"/>
        <v>0</v>
      </c>
      <c r="J136" s="304" t="str">
        <f>IF(AND(C136="keilförmig",(C141+D141&gt;0)),"keilförmig nur homogen",
IF(AND(C135="",C136&lt;&gt;"",B136&lt;&gt;B137),"Dicke " &amp; C136 &amp; " &lt;&gt; Dicke "&amp; C137,
IF(AND(C135&lt;&gt;"",C136&lt;&gt;"",RIGHT(C135,1)&lt;&gt;RIGHT(C136,1),B136&lt;&gt;B137),"Dicke " &amp; C136 &amp; " &lt;&gt; Dicke "&amp; C137,
IF(COUNTIF(b01_x,"=a1")&gt;1,"a1 nur einmal",
IF(COUNTIF(b01_x,"=b1")&gt;1,"b1 nur einmal",
IF(COUNTIF(b01_x,"=a2")&gt;1,"a2 nur einmal",
IF(COUNTIF(b01_x,"=b2")&gt;1,"b2 nur einmal","")))))))</f>
        <v/>
      </c>
      <c r="M136" s="490" t="str">
        <f t="shared" si="53"/>
        <v/>
      </c>
      <c r="N136" s="552"/>
      <c r="O136" s="553"/>
      <c r="P136" s="554"/>
      <c r="R136" s="318"/>
      <c r="S136" s="1168" t="str">
        <f t="shared" si="54"/>
        <v/>
      </c>
      <c r="T136" s="404">
        <f t="shared" ca="1" si="55"/>
        <v>0</v>
      </c>
      <c r="U136" s="404">
        <f t="shared" ca="1" si="56"/>
        <v>0</v>
      </c>
      <c r="V136" s="404">
        <f t="shared" ca="1" si="56"/>
        <v>0</v>
      </c>
      <c r="X136" s="319">
        <f ca="1">IFERROR(IF(T136&gt;0,$H136,0)*T126,0)</f>
        <v>0</v>
      </c>
      <c r="Y136" s="319">
        <f ca="1">IFERROR(IF(LEFT($C136,1)="H",0,IF(U136&gt;0,$H136,IF($H136=0,0,VLOOKUP("H"&amp;Y127,$C128:$H139,6))))*U$104,0)</f>
        <v>0</v>
      </c>
      <c r="Z136" s="319">
        <f ca="1">IFERROR(IF(LEFT($C136,1)="H",0,IF(V136&gt;0,$H136,IF($H136=0,0,VLOOKUP("H"&amp;Z$105,$C128:$H139,6))))*V126,0)</f>
        <v>0</v>
      </c>
      <c r="AA136" s="404">
        <f t="shared" ca="1" si="57"/>
        <v>0</v>
      </c>
      <c r="AB136" s="299"/>
      <c r="AC136" s="19"/>
      <c r="AD136" s="19"/>
      <c r="AE136" s="286" t="str">
        <f>AdresseBezug(Tabellen!$O$5:$O$14)</f>
        <v>O5:O14</v>
      </c>
      <c r="AF136" s="286" t="e">
        <f>VLOOKUP(N136,Tabellen!$O$5:$R$57,3,FALSE)</f>
        <v>#N/A</v>
      </c>
      <c r="AG136" s="286" t="e">
        <f t="shared" ca="1" si="49"/>
        <v>#N/A</v>
      </c>
      <c r="AH136" s="288" t="b">
        <f t="shared" ca="1" si="50"/>
        <v>1</v>
      </c>
      <c r="AI136" s="288" t="b">
        <f t="shared" ca="1" si="51"/>
        <v>1</v>
      </c>
      <c r="AJ136" s="287">
        <f>IF(ISERROR(VLOOKUP(N136,Tabellen!$O$5:$R$58,4,FALSE)),1,VLOOKUP(N136,Tabellen!$O$5:$R$58,4,FALSE))</f>
        <v>1</v>
      </c>
      <c r="AK136" s="287">
        <f>IF(ISERROR(VLOOKUP(N136,Tabellen!$O$5:$S$58,5,FALSE)),1,VLOOKUP(N136,Tabellen!$O$5:$S$58,5,FALSE))</f>
        <v>1</v>
      </c>
    </row>
    <row r="137" spans="1:41" ht="15" thickTop="1" thickBot="1">
      <c r="A137" s="285">
        <v>10</v>
      </c>
      <c r="B137" s="544"/>
      <c r="C137" s="736"/>
      <c r="D137" s="545"/>
      <c r="E137" s="1219" t="str">
        <f t="shared" si="48"/>
        <v/>
      </c>
      <c r="F137" s="1219"/>
      <c r="G137" s="1220"/>
      <c r="H137" s="534">
        <f ca="1">CHOOSE(AK137,0,
VLOOKUP(P137,OFFSET(INDIRECT("Tabellen!"&amp;AG137),0,0,,2),2,FALSE),
VLOOKUP(P137,OFFSET(INDIRECT("Tabellen!"&amp;AG137),0,0,,3),3,FALSE),
VLOOKUP(P137,OFFSET(INDIRECT("Tabellen!"&amp;AG137),0,0,,3),3,FALSE),
RechLuftschichtRuhend(B137,MATCH(Bauteile!O137,Tabellen!$W$5:$W$12,0)),
VLOOKUP(O137,OFFSET(INDIRECT("Tabellen!"&amp;AF137),0,0,,7),7,FALSE))</f>
        <v>0</v>
      </c>
      <c r="I137" s="316">
        <f t="shared" ca="1" si="52"/>
        <v>0</v>
      </c>
      <c r="J137" s="304" t="str">
        <f>IF(AND(C137="keilförmig",(C141+D141&gt;0)),"keilförmig nur homogen",
IF(AND(C136="",C137&lt;&gt;"",B137&lt;&gt;B138),"Dicke " &amp; C137 &amp; " &lt;&gt; Dicke "&amp; C138,
IF(AND(C136&lt;&gt;"",C137&lt;&gt;"",RIGHT(C136,1)&lt;&gt;RIGHT(C137,1),B137&lt;&gt;B138),"Dicke " &amp; C137 &amp; " &lt;&gt; Dicke "&amp; C138,
IF(COUNTIF(b01_x,"=a1")&gt;1,"a1 nur einmal",
IF(COUNTIF(b01_x,"=b1")&gt;1,"b1 nur einmal",
IF(COUNTIF(b01_x,"=a2")&gt;1,"a2 nur einmal",
IF(COUNTIF(b01_x,"=b2")&gt;1,"b2 nur einmal","")))))))</f>
        <v/>
      </c>
      <c r="M137" s="490" t="str">
        <f t="shared" si="53"/>
        <v/>
      </c>
      <c r="N137" s="552"/>
      <c r="O137" s="553"/>
      <c r="P137" s="554"/>
      <c r="R137" s="318"/>
      <c r="S137" s="1168" t="str">
        <f t="shared" si="54"/>
        <v/>
      </c>
      <c r="T137" s="404">
        <f t="shared" ca="1" si="55"/>
        <v>0</v>
      </c>
      <c r="U137" s="404">
        <f t="shared" ca="1" si="56"/>
        <v>0</v>
      </c>
      <c r="V137" s="404">
        <f t="shared" ca="1" si="56"/>
        <v>0</v>
      </c>
      <c r="X137" s="319">
        <f ca="1">IFERROR(IF(T137&gt;0,$H137,0)*T126,0)</f>
        <v>0</v>
      </c>
      <c r="Y137" s="319">
        <f ca="1">IFERROR(IF(LEFT($C137,1)="H",0,IF(U137&gt;0,$H137,IF($H137=0,0,VLOOKUP("H"&amp;Y127,$C128:$H139,6))))*U$104,0)</f>
        <v>0</v>
      </c>
      <c r="Z137" s="319">
        <f ca="1">IFERROR(IF(LEFT($C137,1)="H",0,IF(V137&gt;0,$H137,IF($H137=0,0,VLOOKUP("H"&amp;Z$105,$C128:$H139,6))))*V126,0)</f>
        <v>0</v>
      </c>
      <c r="AA137" s="404">
        <f t="shared" ca="1" si="57"/>
        <v>0</v>
      </c>
      <c r="AB137" s="299"/>
      <c r="AC137" s="19"/>
      <c r="AD137" s="19"/>
      <c r="AE137" s="286" t="str">
        <f>AdresseBezug(Tabellen!$O$5:$O$14)</f>
        <v>O5:O14</v>
      </c>
      <c r="AF137" s="286" t="e">
        <f>VLOOKUP(N137,Tabellen!$O$5:$R$57,3,FALSE)</f>
        <v>#N/A</v>
      </c>
      <c r="AG137" s="286" t="e">
        <f t="shared" ca="1" si="49"/>
        <v>#N/A</v>
      </c>
      <c r="AH137" s="288" t="b">
        <f t="shared" ca="1" si="50"/>
        <v>1</v>
      </c>
      <c r="AI137" s="288" t="b">
        <f t="shared" ca="1" si="51"/>
        <v>1</v>
      </c>
      <c r="AJ137" s="287">
        <f>IF(ISERROR(VLOOKUP(N137,Tabellen!$O$5:$R$58,4,FALSE)),1,VLOOKUP(N137,Tabellen!$O$5:$R$58,4,FALSE))</f>
        <v>1</v>
      </c>
      <c r="AK137" s="287">
        <f>IF(ISERROR(VLOOKUP(N137,Tabellen!$O$5:$S$58,5,FALSE)),1,VLOOKUP(N137,Tabellen!$O$5:$S$58,5,FALSE))</f>
        <v>1</v>
      </c>
    </row>
    <row r="138" spans="1:41" ht="15" thickTop="1" thickBot="1">
      <c r="A138" s="285">
        <v>11</v>
      </c>
      <c r="B138" s="544"/>
      <c r="C138" s="736"/>
      <c r="D138" s="545"/>
      <c r="E138" s="1219" t="str">
        <f t="shared" si="48"/>
        <v/>
      </c>
      <c r="F138" s="1219"/>
      <c r="G138" s="1220"/>
      <c r="H138" s="534">
        <f ca="1">CHOOSE(AK138,0,
VLOOKUP(P138,OFFSET(INDIRECT("Tabellen!"&amp;AG138),0,0,,2),2,FALSE),
VLOOKUP(P138,OFFSET(INDIRECT("Tabellen!"&amp;AG138),0,0,,3),3,FALSE),
VLOOKUP(P138,OFFSET(INDIRECT("Tabellen!"&amp;AG138),0,0,,3),3,FALSE),
RechLuftschichtRuhend(B138,MATCH(Bauteile!O138,Tabellen!$W$5:$W$12,0)),
VLOOKUP(O138,OFFSET(INDIRECT("Tabellen!"&amp;AF138),0,0,,7),7,FALSE))</f>
        <v>0</v>
      </c>
      <c r="I138" s="316">
        <f t="shared" ca="1" si="52"/>
        <v>0</v>
      </c>
      <c r="J138" s="304" t="str">
        <f>IF(AND(C138="keilförmig",(C141+D141&gt;0)),"keilförmig nur homogen",
IF(AND(C137="",C138&lt;&gt;"",B138&lt;&gt;B139),"Dicke " &amp; C138 &amp; " &lt;&gt; Dicke "&amp; C139,
IF(AND(C137&lt;&gt;"",C138&lt;&gt;"",RIGHT(C137,1)&lt;&gt;RIGHT(C138,1),B138&lt;&gt;B139),"Dicke " &amp; C138 &amp; " &lt;&gt; Dicke "&amp; C139,
IF(COUNTIF(b01_x,"=a1")&gt;1,"a1 nur einmal",
IF(COUNTIF(b01_x,"=b1")&gt;1,"b1 nur einmal",
IF(COUNTIF(b01_x,"=a2")&gt;1,"a2 nur einmal",
IF(COUNTIF(b01_x,"=b2")&gt;1,"b2 nur einmal","")))))))</f>
        <v/>
      </c>
      <c r="M138" s="490" t="str">
        <f t="shared" si="53"/>
        <v/>
      </c>
      <c r="N138" s="552"/>
      <c r="O138" s="553"/>
      <c r="P138" s="554"/>
      <c r="R138" s="318"/>
      <c r="S138" s="1168" t="str">
        <f t="shared" si="54"/>
        <v/>
      </c>
      <c r="T138" s="404">
        <f t="shared" ca="1" si="55"/>
        <v>0</v>
      </c>
      <c r="U138" s="404">
        <f t="shared" ca="1" si="56"/>
        <v>0</v>
      </c>
      <c r="V138" s="404">
        <f t="shared" ca="1" si="56"/>
        <v>0</v>
      </c>
      <c r="X138" s="319">
        <f ca="1">IFERROR(IF(T138&gt;0,$H138,0)*T126,0)</f>
        <v>0</v>
      </c>
      <c r="Y138" s="319">
        <f ca="1">IFERROR(IF(LEFT($C138,1)="H",0,IF(U138&gt;0,$H138,IF($H138=0,0,VLOOKUP("H"&amp;Y127,$C128:$H139,6))))*U$104,0)</f>
        <v>0</v>
      </c>
      <c r="Z138" s="319">
        <f ca="1">IFERROR(IF(LEFT($C138,1)="H",0,IF(V138&gt;0,$H138,IF($H138=0,0,VLOOKUP("H"&amp;Z$105,$C128:$H139,6))))*V126,0)</f>
        <v>0</v>
      </c>
      <c r="AA138" s="404">
        <f t="shared" ca="1" si="57"/>
        <v>0</v>
      </c>
      <c r="AB138" s="299"/>
      <c r="AC138" s="19"/>
      <c r="AD138" s="19"/>
      <c r="AE138" s="286" t="str">
        <f>AdresseBezug(Tabellen!$O$5:$O$14)</f>
        <v>O5:O14</v>
      </c>
      <c r="AF138" s="286" t="e">
        <f>VLOOKUP(N138,Tabellen!$O$5:$R$57,3,FALSE)</f>
        <v>#N/A</v>
      </c>
      <c r="AG138" s="286" t="e">
        <f t="shared" ca="1" si="49"/>
        <v>#N/A</v>
      </c>
      <c r="AH138" s="288" t="b">
        <f t="shared" ca="1" si="50"/>
        <v>1</v>
      </c>
      <c r="AI138" s="288" t="b">
        <f t="shared" ca="1" si="51"/>
        <v>1</v>
      </c>
      <c r="AJ138" s="287">
        <f>IF(ISERROR(VLOOKUP(N138,Tabellen!$O$5:$R$58,4,FALSE)),1,VLOOKUP(N138,Tabellen!$O$5:$R$58,4,FALSE))</f>
        <v>1</v>
      </c>
      <c r="AK138" s="287">
        <f>IF(ISERROR(VLOOKUP(N138,Tabellen!$O$5:$S$58,5,FALSE)),1,VLOOKUP(N138,Tabellen!$O$5:$S$58,5,FALSE))</f>
        <v>1</v>
      </c>
    </row>
    <row r="139" spans="1:41" ht="14.4" thickTop="1">
      <c r="A139" s="285">
        <v>12</v>
      </c>
      <c r="B139" s="544"/>
      <c r="C139" s="772"/>
      <c r="D139" s="545"/>
      <c r="E139" s="302" t="str">
        <f t="shared" si="48"/>
        <v/>
      </c>
      <c r="F139" s="302"/>
      <c r="G139" s="303"/>
      <c r="H139" s="534">
        <f ca="1">CHOOSE(AK139,0,
VLOOKUP(P139,OFFSET(INDIRECT("Tabellen!"&amp;AG139),0,0,,2),2,FALSE),
VLOOKUP(P139,OFFSET(INDIRECT("Tabellen!"&amp;AG139),0,0,,3),3,FALSE),
VLOOKUP(P139,OFFSET(INDIRECT("Tabellen!"&amp;AG139),0,0,,3),3,FALSE),
RechLuftschichtRuhend(B139,MATCH(Bauteile!O139,Tabellen!$W$5:$W$12,0)),
VLOOKUP(O139,OFFSET(INDIRECT("Tabellen!"&amp;AF139),0,0,,7),7,FALSE))</f>
        <v>0</v>
      </c>
      <c r="I139" s="316">
        <f t="shared" ca="1" si="52"/>
        <v>0</v>
      </c>
      <c r="J139" s="304" t="str">
        <f>IF(AND(C139="keilförmig",(C141+D141&gt;0)),"keilförmig nur homogen",
IF(AND(C138="",C139&lt;&gt;"",B139&lt;&gt;B140),"Dicke " &amp; C139 &amp; " &lt;&gt; Dicke "&amp; C140,
IF(AND(C138&lt;&gt;"",C139&lt;&gt;"",RIGHT(C138,1)&lt;&gt;RIGHT(C139,1),B139&lt;&gt;B140),"Dicke " &amp; C139 &amp; " &lt;&gt; Dicke "&amp; C140,
IF(COUNTIF(b01_x,"=a1")&gt;1,"a1 nur einmal",
IF(COUNTIF(b01_x,"=b1")&gt;1,"b1 nur einmal",
IF(COUNTIF(b01_x,"=a2")&gt;1,"a2 nur einmal",
IF(COUNTIF(b01_x,"=b2")&gt;1,"b2 nur einmal","")))))))</f>
        <v/>
      </c>
      <c r="M139" s="490" t="str">
        <f t="shared" si="53"/>
        <v/>
      </c>
      <c r="N139" s="552"/>
      <c r="O139" s="553"/>
      <c r="P139" s="554"/>
      <c r="R139" s="318"/>
      <c r="S139" s="1168" t="str">
        <f t="shared" si="54"/>
        <v/>
      </c>
      <c r="T139" s="404">
        <f t="shared" ca="1" si="55"/>
        <v>0</v>
      </c>
      <c r="U139" s="404">
        <f t="shared" ca="1" si="56"/>
        <v>0</v>
      </c>
      <c r="V139" s="404">
        <f t="shared" ca="1" si="56"/>
        <v>0</v>
      </c>
      <c r="X139" s="319">
        <f ca="1">IFERROR(IF(T139&gt;0,$H139,0)*T126,0)</f>
        <v>0</v>
      </c>
      <c r="Y139" s="319">
        <f ca="1">IFERROR(IF(LEFT($C139,1)="H",0,IF(U139&gt;0,$H139,IF($H139=0,0,VLOOKUP("H"&amp;Y127,$C128:$H139,6))))*U$104,0)</f>
        <v>0</v>
      </c>
      <c r="Z139" s="319">
        <f ca="1">IFERROR(IF(LEFT($C139,1)="H",0,IF(V139&gt;0,$H139,IF($H139=0,0,VLOOKUP("H"&amp;Z$105,$C128:$H139,6))))*V126,0)</f>
        <v>0</v>
      </c>
      <c r="AA139" s="404">
        <f t="shared" ca="1" si="57"/>
        <v>0</v>
      </c>
      <c r="AB139" s="299"/>
      <c r="AC139" s="19"/>
      <c r="AD139" s="19"/>
      <c r="AE139" s="286" t="str">
        <f>AdresseBezug(Tabellen!$O$5:$O$14)</f>
        <v>O5:O14</v>
      </c>
      <c r="AF139" s="286" t="e">
        <f>VLOOKUP(N139,Tabellen!$O$5:$R$57,3,FALSE)</f>
        <v>#N/A</v>
      </c>
      <c r="AG139" s="286" t="e">
        <f t="shared" ca="1" si="49"/>
        <v>#N/A</v>
      </c>
      <c r="AH139" s="288" t="b">
        <f t="shared" ca="1" si="50"/>
        <v>1</v>
      </c>
      <c r="AI139" s="288" t="b">
        <f t="shared" ca="1" si="51"/>
        <v>1</v>
      </c>
      <c r="AJ139" s="287">
        <f>IF(ISERROR(VLOOKUP(N139,Tabellen!$O$5:$R$58,4,FALSE)),1,VLOOKUP(N139,Tabellen!$O$5:$R$58,4,FALSE))</f>
        <v>1</v>
      </c>
      <c r="AK139" s="287">
        <f>IF(ISERROR(VLOOKUP(N139,Tabellen!$O$5:$S$58,5,FALSE)),1,VLOOKUP(N139,Tabellen!$O$5:$S$58,5,FALSE))</f>
        <v>1</v>
      </c>
    </row>
    <row r="140" spans="1:41" ht="13.8">
      <c r="A140" s="281" t="s">
        <v>812</v>
      </c>
      <c r="B140" s="284"/>
      <c r="C140" s="409" t="s">
        <v>1944</v>
      </c>
      <c r="D140" s="409" t="s">
        <v>1945</v>
      </c>
      <c r="E140" s="301" t="str">
        <f>E127</f>
        <v>Wärmestrom aufwärts - stark belüftet (Rse=Rsi)</v>
      </c>
      <c r="F140" s="301"/>
      <c r="G140" s="301"/>
      <c r="H140" s="284"/>
      <c r="I140" s="154"/>
      <c r="J140" s="315">
        <f>IF(E140&gt;0,VLOOKUP(E140,Tabellen!$W$5:$Y$12,3,FALSE),0)</f>
        <v>0.1</v>
      </c>
      <c r="M140" s="57"/>
      <c r="Q140" s="57"/>
      <c r="R140" s="57"/>
      <c r="S140" s="295" t="s">
        <v>812</v>
      </c>
      <c r="T140" s="403">
        <f>IF(T126&gt;0,$J140,0)</f>
        <v>0.1</v>
      </c>
      <c r="U140" s="403">
        <f>IF(U126&gt;0,$J140,0)</f>
        <v>0.1</v>
      </c>
      <c r="V140" s="403">
        <f>IF(V126&gt;0,$J140,0)</f>
        <v>0.1</v>
      </c>
      <c r="X140" s="320"/>
      <c r="Y140" s="320"/>
      <c r="Z140" s="320"/>
      <c r="AA140" s="403">
        <f>J140</f>
        <v>0.1</v>
      </c>
      <c r="AB140" s="299"/>
      <c r="AC140" s="19"/>
      <c r="AD140" s="19"/>
      <c r="AE140" s="713" t="s">
        <v>2459</v>
      </c>
      <c r="AF140" s="713"/>
      <c r="AG140" s="713"/>
      <c r="AH140" s="713" t="s">
        <v>1942</v>
      </c>
      <c r="AI140" s="713"/>
      <c r="AJ140" s="713"/>
      <c r="AL140" s="713" t="s">
        <v>2460</v>
      </c>
      <c r="AM140" s="714"/>
    </row>
    <row r="141" spans="1:41" ht="15">
      <c r="A141" s="789" t="s">
        <v>342</v>
      </c>
      <c r="B141" s="317">
        <f>SUMIF(C128:C139,"",B128:B139)+SUMIF(C128:C139,"G1",B128:B139)+SUMIF(C128:C139,"G2",B128:B139)</f>
        <v>252.5</v>
      </c>
      <c r="C141" s="317">
        <f>SUMIF(C128:C139,"G1",D128:D139)+SUMIF(C128:C139,"H1",D128:D139)</f>
        <v>625</v>
      </c>
      <c r="D141" s="317">
        <f>SUMIF(C128:C139,"G2",D128:D139)+SUMIF(C128:C139,"H2",D128:D139)</f>
        <v>800</v>
      </c>
      <c r="E141" s="790" t="s">
        <v>2514</v>
      </c>
      <c r="F141" s="791" t="str">
        <f>IF(AND(C141&gt;0,D141=0),"mit inhomogen Schichten (1 Ebene)",
IF(AND(C141&gt;0,D141&gt;0),"mit inhomogen Schichten (2 Ebenen, um 90° gedreht)",
IF(SUM(M128:M139)&gt;0,"mit keilförmiger Schicht","mit homogenen Schichten")))</f>
        <v>mit inhomogen Schichten (2 Ebenen, um 90° gedreht)</v>
      </c>
      <c r="G141" s="792"/>
      <c r="H141" s="793"/>
      <c r="I141" s="793"/>
      <c r="J141" s="794"/>
      <c r="K141" s="46" t="str">
        <f>IF(OR(C141&gt;0,D141&gt;0),AK141,IF(SUM(M128:M139)&gt;0,AO141,""))</f>
        <v>DIN EN ISO 6946 : 2018-03 Abschnitt 6.7.2.1 Anwendbarkeit:</v>
      </c>
      <c r="L141" s="46"/>
      <c r="M141" s="46"/>
      <c r="N141" s="46"/>
      <c r="O141" s="46"/>
      <c r="P141" s="46"/>
      <c r="Q141" s="57"/>
      <c r="R141" s="57"/>
      <c r="S141" s="295" t="s">
        <v>3427</v>
      </c>
      <c r="T141" s="404">
        <f ca="1">SUM(T127:T140)</f>
        <v>6.6895604395604389</v>
      </c>
      <c r="U141" s="404">
        <f ca="1">SUM(U127:U140)</f>
        <v>5.854395604395604</v>
      </c>
      <c r="V141" s="404">
        <f ca="1">SUM(V127:V140)</f>
        <v>2.9313186813186811</v>
      </c>
      <c r="X141" s="320">
        <f ca="1">SUM(X128:X139)</f>
        <v>0.36180000000000001</v>
      </c>
      <c r="Y141" s="320">
        <f ca="1">SUM(Y128:Y139)</f>
        <v>5.2320000000000005E-2</v>
      </c>
      <c r="Z141" s="320">
        <f ca="1">SUM(Z128:Z139)</f>
        <v>5.4500000000000007E-2</v>
      </c>
      <c r="AA141" s="405">
        <f ca="1">SUM(AA127:AA140)</f>
        <v>5.3554082877608078</v>
      </c>
      <c r="AB141" s="297" t="s">
        <v>3417</v>
      </c>
      <c r="AC141" s="19"/>
      <c r="AD141" s="19"/>
      <c r="AK141" s="207" t="s">
        <v>3433</v>
      </c>
      <c r="AO141" s="207" t="s">
        <v>955</v>
      </c>
    </row>
    <row r="142" spans="1:41" ht="15">
      <c r="A142" s="795"/>
      <c r="B142" s="796" t="str">
        <f>IF(OR(C141&gt;0,D141&gt;0),AH142,IF(SUM(M128:M139)&gt;0,AL142,AE142))</f>
        <v>Wärmedurchgangswiderstand, oberer Grenzw.</v>
      </c>
      <c r="C142" s="796"/>
      <c r="D142" s="787"/>
      <c r="E142" s="787"/>
      <c r="F142" s="787"/>
      <c r="G142" s="787"/>
      <c r="H142" s="797" t="str">
        <f>IF(OR(C141&gt;0,D141&gt;0),AI142,IF(SUM(M128:M139)&gt;0,AM142,AF142))</f>
        <v>R_tot;upper = 1 / ∑ (f_i / R_i) =</v>
      </c>
      <c r="I142" s="798">
        <f ca="1">IF(OR(C141&gt;0,D141&gt;0),AJ142,IF(SUM(M128:M139)&gt;0,AN142,AG142))</f>
        <v>5.8582464807452928</v>
      </c>
      <c r="J142" s="799" t="s">
        <v>809</v>
      </c>
      <c r="K142" s="1226" t="str">
        <f>IF(OR(C141&gt;0,D141&gt;0),AK142,IF(SUM(M128:M139)&gt;0,AO142,""))</f>
        <v>Das Verfahren gilt nicht für Fälle,  bei  denen  das  Verhältnis  des  oberen  Grenzwertes  des  Wärmedurchgangwiderstandes  zum  unteren Grenzwert  des  Wärmedurchgangwiderstandes  mehr  als  1,5  beträgt.</v>
      </c>
      <c r="L142" s="1227"/>
      <c r="M142" s="1227"/>
      <c r="N142" s="1227"/>
      <c r="O142" s="1227"/>
      <c r="P142" s="1227"/>
      <c r="Q142" s="57"/>
      <c r="R142" s="57"/>
      <c r="S142" s="1170" t="s">
        <v>3428</v>
      </c>
      <c r="T142" s="404">
        <f ca="1">IFERROR(T126/T141,0)</f>
        <v>0.12018726899383986</v>
      </c>
      <c r="U142" s="404">
        <f t="shared" ref="U142:V142" ca="1" si="58">IFERROR(U126/U141,0)</f>
        <v>1.6397935241670578E-2</v>
      </c>
      <c r="V142" s="404">
        <f t="shared" ca="1" si="58"/>
        <v>3.4114339268978451E-2</v>
      </c>
      <c r="X142" s="321"/>
      <c r="Y142" s="321"/>
      <c r="Z142" s="321"/>
      <c r="AA142" s="322"/>
      <c r="AB142" s="299"/>
      <c r="AC142" s="19"/>
      <c r="AD142" s="19"/>
      <c r="AE142" s="711" t="s">
        <v>2461</v>
      </c>
      <c r="AF142" s="710" t="s">
        <v>2466</v>
      </c>
      <c r="AG142" s="715">
        <f ca="1">T141</f>
        <v>6.6895604395604389</v>
      </c>
      <c r="AH142" s="711" t="s">
        <v>2468</v>
      </c>
      <c r="AI142" s="710" t="s">
        <v>3429</v>
      </c>
      <c r="AJ142" s="715">
        <f ca="1">IF(SUM(T142:V142)&gt;0,1/SUM(T142:V142),0)</f>
        <v>5.8582464807452928</v>
      </c>
      <c r="AK142" s="207" t="s">
        <v>2464</v>
      </c>
      <c r="AL142" s="711" t="s">
        <v>2470</v>
      </c>
      <c r="AM142" s="710" t="s">
        <v>2485</v>
      </c>
      <c r="AN142" s="715" t="str">
        <f>IF(SUM(M128:M139)&gt;0,SUM(M128:M139),"")</f>
        <v/>
      </c>
      <c r="AO142" s="207" t="s">
        <v>2416</v>
      </c>
    </row>
    <row r="143" spans="1:41" ht="15">
      <c r="A143" s="795"/>
      <c r="B143" s="796" t="str">
        <f>IF(OR(C141&gt;0,D141&gt;0),AH143,IF(SUM(M128:M139)&gt;0,AL143,AE143))</f>
        <v>dto., unterer Grenzwert</v>
      </c>
      <c r="C143" s="787"/>
      <c r="D143" s="787"/>
      <c r="E143" s="787"/>
      <c r="F143" s="787"/>
      <c r="G143" s="796"/>
      <c r="H143" s="797" t="str">
        <f>IF(OR(C141&gt;0,D141&gt;0),AI143,IF(SUM(M128:M139)&gt;0,AM143,AF143))</f>
        <v>R_tot;lower = Rsi + ∑ (f_j / R_j) + Rse =</v>
      </c>
      <c r="I143" s="798">
        <f ca="1">IF(OR(C141&gt;0,D141&gt;0),AJ143,IF(SUM(M128:M139)&gt;0,AN143,AG143))</f>
        <v>5.3554082877608078</v>
      </c>
      <c r="J143" s="799" t="s">
        <v>809</v>
      </c>
      <c r="K143" s="1226"/>
      <c r="L143" s="1227"/>
      <c r="M143" s="1227"/>
      <c r="N143" s="1227"/>
      <c r="O143" s="1227"/>
      <c r="P143" s="1227"/>
      <c r="Q143" s="57"/>
      <c r="R143" s="57"/>
      <c r="S143" s="297" t="s">
        <v>3426</v>
      </c>
      <c r="T143" s="405"/>
      <c r="U143" s="405"/>
      <c r="V143" s="405">
        <f ca="1">IF(SUM(T142:V142)&gt;0,1/SUM(T142:V142),0)</f>
        <v>5.8582464807452928</v>
      </c>
      <c r="AC143" s="19"/>
      <c r="AD143" s="19"/>
      <c r="AE143" s="711" t="s">
        <v>955</v>
      </c>
      <c r="AF143" s="710" t="s">
        <v>955</v>
      </c>
      <c r="AG143" s="715" t="s">
        <v>955</v>
      </c>
      <c r="AH143" s="711" t="s">
        <v>2465</v>
      </c>
      <c r="AI143" s="710" t="s">
        <v>3430</v>
      </c>
      <c r="AJ143" s="715">
        <f ca="1">AA141</f>
        <v>5.3554082877608078</v>
      </c>
      <c r="AK143" s="207" t="s">
        <v>955</v>
      </c>
      <c r="AL143" s="711" t="s">
        <v>2469</v>
      </c>
      <c r="AM143" s="710" t="s">
        <v>2467</v>
      </c>
      <c r="AN143" s="715" t="str">
        <f>IF(SUM(M128:M139)&gt;0,SUM(I127:J140),"")</f>
        <v/>
      </c>
      <c r="AO143" s="207" t="s">
        <v>955</v>
      </c>
    </row>
    <row r="144" spans="1:41" ht="15">
      <c r="A144" s="800"/>
      <c r="B144" s="788" t="str">
        <f>IF(OR(C141&gt;0,D141&gt;0),AH144,IF(SUM(M128:M139)&gt;0,AL144,AE144))</f>
        <v>Wärmedurchgangskoeffizient</v>
      </c>
      <c r="C144" s="801"/>
      <c r="D144" s="801"/>
      <c r="E144" s="801"/>
      <c r="F144" s="801"/>
      <c r="G144" s="801"/>
      <c r="H144" s="802" t="str">
        <f>IF(OR(C141&gt;0,D141&gt;0),AI144,IF(SUM(M128:M139)&gt;0,AM144,AF144))</f>
        <v>U = 2 / (R_tot;upper + R_tot;lower) =</v>
      </c>
      <c r="I144" s="803">
        <f ca="1">IF(OR(C141&gt;0,D141&gt;0),AJ144,IF(SUM(M128:M139)&gt;0,AN144,AG144))</f>
        <v>0.17835398371787425</v>
      </c>
      <c r="J144" s="804" t="s">
        <v>815</v>
      </c>
      <c r="K144" s="46" t="str">
        <f ca="1">IF(OR(C141&gt;0,D141&gt;0),AK144,IF(SUM(M128:M139)&gt;0,AO144,""))</f>
        <v>Hier: Rtot;upper / Rtot;lower = 1,09 &lt;= 1,5, d.h. zulässig</v>
      </c>
      <c r="L144" s="46"/>
      <c r="M144" s="46"/>
      <c r="N144" s="46"/>
      <c r="O144" s="46"/>
      <c r="P144" s="46"/>
      <c r="Q144" s="57"/>
      <c r="R144" s="57"/>
      <c r="T144" s="292"/>
      <c r="U144" s="57"/>
      <c r="V144" s="57"/>
      <c r="W144" s="57"/>
      <c r="X144" s="292"/>
      <c r="Y144" s="292"/>
      <c r="Z144" s="292"/>
      <c r="AC144" s="19"/>
      <c r="AD144" s="19"/>
      <c r="AE144" s="711" t="s">
        <v>813</v>
      </c>
      <c r="AF144" s="710" t="s">
        <v>2463</v>
      </c>
      <c r="AG144" s="715">
        <f ca="1">IF(AG142&gt;0,1/AG142,"")</f>
        <v>0.14948665297741276</v>
      </c>
      <c r="AH144" s="711" t="s">
        <v>813</v>
      </c>
      <c r="AI144" s="710" t="s">
        <v>3431</v>
      </c>
      <c r="AJ144" s="715">
        <f ca="1">IF((AJ142+AJ143)&gt;0,2/(AJ142+AJ143),0)</f>
        <v>0.17835398371787425</v>
      </c>
      <c r="AK144" s="207" t="str">
        <f ca="1">"Hier: Rtot;upper / Rtot;lower = "&amp; IF(AND(I143&gt;0,(C141+D141)&gt;0),TEXT(I142/I143,"0,00")&amp;IF(I142/I143&lt;=1.5," &lt;= 1,5, d.h. zulässig"," &gt; 1,5, d.h. nicht zulässig"),"nicht relevant")</f>
        <v>Hier: Rtot;upper / Rtot;lower = 1,09 &lt;= 1,5, d.h. zulässig</v>
      </c>
      <c r="AL144" s="711" t="s">
        <v>2462</v>
      </c>
      <c r="AM144" s="710" t="s">
        <v>2486</v>
      </c>
      <c r="AN144" s="715" t="str">
        <f>IF(SUM(M128:M139)&gt;0,IF(AN142*AN143&gt;0,1/AN142*LN(1+AN142/AN143),""),"")</f>
        <v/>
      </c>
      <c r="AO144" s="207" t="s">
        <v>2417</v>
      </c>
    </row>
    <row r="146" spans="1:37" ht="13.8">
      <c r="A146" s="419" t="s">
        <v>819</v>
      </c>
      <c r="B146" s="1214"/>
      <c r="C146" s="1215"/>
      <c r="D146" s="1215"/>
      <c r="E146" s="1215"/>
      <c r="F146" s="1216"/>
      <c r="G146" s="1216"/>
      <c r="H146" s="1216"/>
      <c r="I146" s="523" t="str">
        <f ca="1">I166</f>
        <v/>
      </c>
      <c r="J146" s="737">
        <v>0.5</v>
      </c>
      <c r="K146" s="33"/>
      <c r="L146" s="87">
        <f>ROW(A147)</f>
        <v>147</v>
      </c>
      <c r="M146" s="87">
        <f>ROW(A166)</f>
        <v>166</v>
      </c>
      <c r="N146" s="515">
        <f>(ROW(A146)-ROW($A$36))/(ROW($A$58)-ROW($A$36))+1</f>
        <v>6</v>
      </c>
      <c r="O146" s="216"/>
      <c r="P146" s="216"/>
      <c r="Q146" s="87"/>
      <c r="R146" s="87"/>
      <c r="S146" s="297" t="s">
        <v>3414</v>
      </c>
      <c r="T146" s="294"/>
      <c r="U146" s="293"/>
      <c r="V146" s="293"/>
      <c r="X146" s="297" t="s">
        <v>3415</v>
      </c>
      <c r="Y146" s="297"/>
      <c r="Z146" s="297"/>
      <c r="AA146" s="294"/>
      <c r="AB146" s="298"/>
      <c r="AC146" s="19"/>
      <c r="AD146" s="19"/>
    </row>
    <row r="147" spans="1:37" ht="22.8" hidden="1">
      <c r="A147" s="310" t="s">
        <v>1125</v>
      </c>
      <c r="B147" s="365" t="s">
        <v>1115</v>
      </c>
      <c r="C147" s="1221" t="s">
        <v>3425</v>
      </c>
      <c r="D147" s="1222"/>
      <c r="E147" s="306" t="s">
        <v>1116</v>
      </c>
      <c r="F147" s="305"/>
      <c r="G147" s="305"/>
      <c r="H147" s="306" t="s">
        <v>1120</v>
      </c>
      <c r="I147" s="306" t="s">
        <v>1679</v>
      </c>
      <c r="J147" s="591" t="s">
        <v>1113</v>
      </c>
      <c r="K147" s="33"/>
      <c r="M147" s="57"/>
      <c r="N147" s="387"/>
      <c r="Q147" s="57"/>
      <c r="R147" s="57"/>
      <c r="S147" s="295" t="s">
        <v>3416</v>
      </c>
      <c r="T147" s="1167">
        <v>0</v>
      </c>
      <c r="U147" s="296">
        <v>1</v>
      </c>
      <c r="V147" s="296">
        <v>2</v>
      </c>
      <c r="X147" s="1169" t="s">
        <v>3413</v>
      </c>
      <c r="Y147" s="296"/>
      <c r="Z147" s="296"/>
      <c r="AA147" s="296" t="s">
        <v>3418</v>
      </c>
      <c r="AB147" s="298"/>
      <c r="AC147" s="19"/>
      <c r="AD147" s="19"/>
      <c r="AE147" s="272" t="s">
        <v>824</v>
      </c>
      <c r="AF147" s="197"/>
      <c r="AG147" s="197"/>
      <c r="AH147" s="195" t="s">
        <v>842</v>
      </c>
      <c r="AI147" s="199"/>
      <c r="AJ147" s="289" t="s">
        <v>1671</v>
      </c>
      <c r="AK147" s="289"/>
    </row>
    <row r="148" spans="1:37" ht="13.8" hidden="1">
      <c r="A148" s="312"/>
      <c r="B148" s="306" t="s">
        <v>807</v>
      </c>
      <c r="C148" s="306" t="s">
        <v>3424</v>
      </c>
      <c r="D148" s="306" t="s">
        <v>807</v>
      </c>
      <c r="E148" s="311" t="s">
        <v>806</v>
      </c>
      <c r="F148" s="770"/>
      <c r="G148" s="771"/>
      <c r="H148" s="306" t="s">
        <v>808</v>
      </c>
      <c r="I148" s="306" t="s">
        <v>1122</v>
      </c>
      <c r="J148" s="591" t="s">
        <v>809</v>
      </c>
      <c r="N148" s="387"/>
      <c r="S148" s="295" t="s">
        <v>1114</v>
      </c>
      <c r="T148" s="405">
        <f>1-U148-V148</f>
        <v>1</v>
      </c>
      <c r="U148" s="405">
        <f>IF(C163=0,0,SUMIF($C150:$C161,"H"&amp;U147,$D150:$D161)/C163)</f>
        <v>0</v>
      </c>
      <c r="V148" s="405">
        <f>IF(D163=0,0,SUMIF($C150:$C161,"H"&amp;V147,$D150:$D161)/D163)</f>
        <v>0</v>
      </c>
      <c r="X148" s="407" t="s">
        <v>3423</v>
      </c>
      <c r="Y148" s="407" t="s">
        <v>1910</v>
      </c>
      <c r="Z148" s="407"/>
      <c r="AA148" s="406" t="s">
        <v>3432</v>
      </c>
      <c r="AB148" s="299"/>
      <c r="AC148" s="19"/>
      <c r="AD148" s="19"/>
      <c r="AE148" s="197"/>
      <c r="AF148" s="197"/>
      <c r="AG148" s="197"/>
      <c r="AH148" s="199"/>
      <c r="AI148" s="199"/>
      <c r="AJ148" s="289" t="s">
        <v>1672</v>
      </c>
      <c r="AK148" s="289"/>
    </row>
    <row r="149" spans="1:37" ht="13.8" hidden="1">
      <c r="A149" s="279" t="s">
        <v>810</v>
      </c>
      <c r="B149" s="276"/>
      <c r="C149" s="276"/>
      <c r="D149" s="276"/>
      <c r="E149" s="1217"/>
      <c r="F149" s="1218"/>
      <c r="G149" s="1218"/>
      <c r="H149" s="276"/>
      <c r="I149" s="278"/>
      <c r="J149" s="315">
        <f>IF(E149&gt;0,VLOOKUP(E149,Tabellen!$W$5:$Y$12,2,FALSE),0)</f>
        <v>0</v>
      </c>
      <c r="N149" s="418" t="s">
        <v>821</v>
      </c>
      <c r="O149" s="418" t="s">
        <v>818</v>
      </c>
      <c r="P149" s="418" t="s">
        <v>820</v>
      </c>
      <c r="S149" s="295" t="s">
        <v>810</v>
      </c>
      <c r="T149" s="403">
        <f>IF(T148&gt;0,$J149,0)</f>
        <v>0</v>
      </c>
      <c r="U149" s="403">
        <f>IF(U148&gt;0,$J149,0)</f>
        <v>0</v>
      </c>
      <c r="V149" s="403">
        <f>IF(V148&gt;0,$J149,0)</f>
        <v>0</v>
      </c>
      <c r="X149" s="1169">
        <v>0</v>
      </c>
      <c r="Y149" s="1169">
        <v>1</v>
      </c>
      <c r="Z149" s="1169">
        <v>2</v>
      </c>
      <c r="AA149" s="403">
        <f>J149</f>
        <v>0</v>
      </c>
      <c r="AB149" s="299"/>
      <c r="AC149" s="19"/>
      <c r="AD149" s="19"/>
      <c r="AE149" s="197" t="s">
        <v>821</v>
      </c>
      <c r="AF149" s="197" t="s">
        <v>818</v>
      </c>
      <c r="AG149" s="197" t="s">
        <v>820</v>
      </c>
      <c r="AH149" s="199" t="s">
        <v>1678</v>
      </c>
      <c r="AI149" s="199" t="s">
        <v>818</v>
      </c>
    </row>
    <row r="150" spans="1:37" ht="14.4" hidden="1" thickBot="1">
      <c r="A150" s="285">
        <v>1</v>
      </c>
      <c r="B150" s="540"/>
      <c r="C150" s="736"/>
      <c r="D150" s="541"/>
      <c r="E150" s="1219" t="str">
        <f t="shared" ref="E150:E161" si="59">IF(AJ150&gt;1,N150&amp;": "&amp;INDEX(N150:P150,AJ150),"")</f>
        <v/>
      </c>
      <c r="F150" s="1219"/>
      <c r="G150" s="1220"/>
      <c r="H150" s="534">
        <f ca="1">CHOOSE(AK150,0,
VLOOKUP(P150,OFFSET(INDIRECT("Tabellen!"&amp;AG150),0,0,,2),2,FALSE),
VLOOKUP(P150,OFFSET(INDIRECT("Tabellen!"&amp;AG150),0,0,,3),3,FALSE),
VLOOKUP(P150,OFFSET(INDIRECT("Tabellen!"&amp;AG150),0,0,,3),3,FALSE),
RechLuftschichtRuhend(B150,MATCH(Bauteile!O150,Tabellen!$W$5:$W$12,0)),
VLOOKUP(O150,OFFSET(INDIRECT("Tabellen!"&amp;AF150),0,0,,7),7,FALSE))</f>
        <v>0</v>
      </c>
      <c r="I150" s="316">
        <f ca="1">IF(C150="keilförmig","siehe unten",IF(H150&gt;0,B150/1000/H150,0))</f>
        <v>0</v>
      </c>
      <c r="J150" s="304" t="str">
        <f>IF(AND(C150="keilförmig",(C163+D163&gt;0)),"keilförmig nur homogen",
IF(AND(C149="",C150&lt;&gt;"",B150&lt;&gt;B151),"Dicke " &amp; C150 &amp; " &lt;&gt; Dicke "&amp; C151,
IF(AND(C149&lt;&gt;"",C150&lt;&gt;"",RIGHT(C149,1)&lt;&gt;RIGHT(C150,1),B150&lt;&gt;B151),"Dicke " &amp; C150 &amp; " &lt;&gt; Dicke "&amp; C151,
IF(COUNTIF(b01_x,"=a1")&gt;1,"a1 nur einmal",
IF(COUNTIF(b01_x,"=b1")&gt;1,"b1 nur einmal",
IF(COUNTIF(b01_x,"=a2")&gt;1,"a2 nur einmal",
IF(COUNTIF(b01_x,"=b2")&gt;1,"b2 nur einmal","")))))))</f>
        <v/>
      </c>
      <c r="M150" s="773" t="str">
        <f>IF(C150="keilförmig",IF(H150&gt;0,B150/1000/H150,0),"")</f>
        <v/>
      </c>
      <c r="N150" s="546"/>
      <c r="O150" s="547"/>
      <c r="P150" s="548"/>
      <c r="R150" s="318"/>
      <c r="S150" s="1168" t="str">
        <f>IF(AND(C150&lt;&gt;"keilförmig",C150&lt;&gt;""),VALUE(RIGHT(C150,1)),"")</f>
        <v/>
      </c>
      <c r="T150" s="404">
        <f ca="1">IFERROR(IF($H150=0,0,IF(OR($C150=0,LEFT($C150,1)="G"),$B150/1000/$H150,0)),0)</f>
        <v>0</v>
      </c>
      <c r="U150" s="404">
        <f ca="1">IFERROR(IF($H150=0,0,IF($C150="H"&amp;U$103,$B150/1000/$H150,IF($C150="G"&amp;U$103,0,$T150))),0)</f>
        <v>0</v>
      </c>
      <c r="V150" s="404">
        <f ca="1">IFERROR(IF($H150=0,0,IF($C150="H"&amp;V$103,$B150/1000/$H150,IF($C150="G"&amp;V$103,0,$T150))),0)</f>
        <v>0</v>
      </c>
      <c r="X150" s="319">
        <f ca="1">IFERROR(IF(T150&gt;0,$H150,0)*T148,0)</f>
        <v>0</v>
      </c>
      <c r="Y150" s="319">
        <f ca="1">IFERROR(IF(LEFT($C150,1)="H",0,IF(U150&gt;0,$H150,IF($H150=0,0,VLOOKUP("H"&amp;Y149,$C150:$H161,6))))*U$104,0)</f>
        <v>0</v>
      </c>
      <c r="Z150" s="319">
        <f ca="1">IFERROR(IF(LEFT($C150,1)="H",0,IF(V150&gt;0,$H150,IF($H150=0,0,VLOOKUP("H"&amp;Z$105,$C150:$H161,6))))*V148,0)</f>
        <v>0</v>
      </c>
      <c r="AA150" s="404">
        <f ca="1">IFERROR($B150/1000/SUM(X150:Z150),0)</f>
        <v>0</v>
      </c>
      <c r="AB150" s="299"/>
      <c r="AC150" s="19"/>
      <c r="AD150" s="19"/>
      <c r="AE150" s="286" t="str">
        <f>AdresseBezug(Tabellen!$O$5:$O$14)</f>
        <v>O5:O14</v>
      </c>
      <c r="AF150" s="286" t="e">
        <f>VLOOKUP(N150,Tabellen!$O$5:$R$57,3,FALSE)</f>
        <v>#N/A</v>
      </c>
      <c r="AG150" s="286" t="e">
        <f t="shared" ref="AG150:AG161" ca="1" si="60">VLOOKUP(O150,OFFSET(INDIRECT("Tabellen!"&amp;AF150),0,0,,2),2,FALSE)</f>
        <v>#N/A</v>
      </c>
      <c r="AH150" s="288" t="b">
        <f t="shared" ref="AH150:AH161" ca="1" si="61">ISERROR(VLOOKUP(O150,INDIRECT("Tabellen!"&amp;AF150),1,FALSE))</f>
        <v>1</v>
      </c>
      <c r="AI150" s="288" t="b">
        <f t="shared" ref="AI150:AI161" ca="1" si="62">ISERROR(VLOOKUP(P150,INDIRECT("Tabellen!"&amp;AG150),1,FALSE))</f>
        <v>1</v>
      </c>
      <c r="AJ150" s="287">
        <f>IF(ISERROR(VLOOKUP(N150,Tabellen!$O$5:$R$58,4,FALSE)),1,VLOOKUP(N150,Tabellen!$O$5:$R$58,4,FALSE))</f>
        <v>1</v>
      </c>
      <c r="AK150" s="287">
        <f>IF(ISERROR(VLOOKUP(N150,Tabellen!$O$5:$S$58,5,FALSE)),1,VLOOKUP(N150,Tabellen!$O$5:$S$58,5,FALSE))</f>
        <v>1</v>
      </c>
    </row>
    <row r="151" spans="1:37" ht="15" hidden="1" thickTop="1" thickBot="1">
      <c r="A151" s="285">
        <v>2</v>
      </c>
      <c r="B151" s="542"/>
      <c r="C151" s="736"/>
      <c r="D151" s="543"/>
      <c r="E151" s="1219" t="str">
        <f t="shared" si="59"/>
        <v/>
      </c>
      <c r="F151" s="1219"/>
      <c r="G151" s="1220"/>
      <c r="H151" s="534">
        <f ca="1">CHOOSE(AK151,0,
VLOOKUP(P151,OFFSET(INDIRECT("Tabellen!"&amp;AG151),0,0,,2),2,FALSE),
VLOOKUP(P151,OFFSET(INDIRECT("Tabellen!"&amp;AG151),0,0,,3),3,FALSE),
VLOOKUP(P151,OFFSET(INDIRECT("Tabellen!"&amp;AG151),0,0,,3),3,FALSE),
RechLuftschichtRuhend(B151,MATCH(Bauteile!O151,Tabellen!$W$5:$W$12,0)),
VLOOKUP(O151,OFFSET(INDIRECT("Tabellen!"&amp;AF151),0,0,,7),7,FALSE))</f>
        <v>0</v>
      </c>
      <c r="I151" s="316">
        <f t="shared" ref="I151:I161" ca="1" si="63">IF(C151="keilförmig","siehe unten",IF(H151&gt;0,B151/1000/H151,0))</f>
        <v>0</v>
      </c>
      <c r="J151" s="304" t="str">
        <f>IF(AND(C151="keilförmig",(C163+D163&gt;0)),"keilförmig nur homogen",
IF(AND(C150="",C151&lt;&gt;"",B151&lt;&gt;B152),"Dicke " &amp; C151 &amp; " &lt;&gt; Dicke "&amp; C152,
IF(AND(C150&lt;&gt;"",C151&lt;&gt;"",RIGHT(C150,1)&lt;&gt;RIGHT(C151,1),B151&lt;&gt;B152),"Dicke " &amp; C151 &amp; " &lt;&gt; Dicke "&amp; C152,
IF(COUNTIF(b01_x,"=a1")&gt;1,"a1 nur einmal",
IF(COUNTIF(b01_x,"=b1")&gt;1,"b1 nur einmal",
IF(COUNTIF(b01_x,"=a2")&gt;1,"a2 nur einmal",
IF(COUNTIF(b01_x,"=b2")&gt;1,"b2 nur einmal","")))))))</f>
        <v/>
      </c>
      <c r="M151" s="773" t="str">
        <f>IF(C151="keilförmig",IF(H151&gt;0,B151/1000/H151,0),"")</f>
        <v/>
      </c>
      <c r="N151" s="549"/>
      <c r="O151" s="550"/>
      <c r="P151" s="551"/>
      <c r="R151" s="318"/>
      <c r="S151" s="1168" t="str">
        <f t="shared" ref="S151:S161" si="64">IF(AND(C151&lt;&gt;"keilförmig",C151&lt;&gt;""),VALUE(RIGHT(C151,1)),"")</f>
        <v/>
      </c>
      <c r="T151" s="404">
        <f t="shared" ref="T151:T161" ca="1" si="65">IFERROR(IF($H151=0,0,IF(OR($C151=0,LEFT($C151,1)="G"),$B151/1000/$H151,0)),0)</f>
        <v>0</v>
      </c>
      <c r="U151" s="404">
        <f t="shared" ref="U151:V161" ca="1" si="66">IFERROR(IF($H151=0,0,IF($C151="H"&amp;U$103,$B151/1000/$H151,IF($C151="G"&amp;U$103,0,$T151))),0)</f>
        <v>0</v>
      </c>
      <c r="V151" s="404">
        <f t="shared" ca="1" si="66"/>
        <v>0</v>
      </c>
      <c r="X151" s="319">
        <f ca="1">IFERROR(IF(T151&gt;0,$H151,0)*T148,0)</f>
        <v>0</v>
      </c>
      <c r="Y151" s="319">
        <f ca="1">IFERROR(IF(LEFT($C151,1)="H",0,IF(U151&gt;0,$H151,IF($H151=0,0,VLOOKUP("H"&amp;Y149,$C150:$H161,6))))*U$104,0)</f>
        <v>0</v>
      </c>
      <c r="Z151" s="319">
        <f ca="1">IFERROR(IF(LEFT($C151,1)="H",0,IF(V151&gt;0,$H151,IF($H151=0,0,VLOOKUP("H"&amp;Z$105,$C150:$H161,6))))*V148,0)</f>
        <v>0</v>
      </c>
      <c r="AA151" s="404">
        <f t="shared" ref="AA151:AA161" ca="1" si="67">IFERROR($B151/1000/SUM(X151:Z151),0)</f>
        <v>0</v>
      </c>
      <c r="AB151" s="299"/>
      <c r="AC151" s="19"/>
      <c r="AD151" s="19"/>
      <c r="AE151" s="286" t="str">
        <f>AdresseBezug(Tabellen!$O$5:$O$14)</f>
        <v>O5:O14</v>
      </c>
      <c r="AF151" s="286" t="e">
        <f>VLOOKUP(N151,Tabellen!$O$5:$R$57,3,FALSE)</f>
        <v>#N/A</v>
      </c>
      <c r="AG151" s="286" t="e">
        <f t="shared" ca="1" si="60"/>
        <v>#N/A</v>
      </c>
      <c r="AH151" s="288" t="b">
        <f t="shared" ca="1" si="61"/>
        <v>1</v>
      </c>
      <c r="AI151" s="288" t="b">
        <f t="shared" ca="1" si="62"/>
        <v>1</v>
      </c>
      <c r="AJ151" s="287">
        <f>IF(ISERROR(VLOOKUP(N151,Tabellen!$O$5:$R$58,4,FALSE)),1,VLOOKUP(N151,Tabellen!$O$5:$R$58,4,FALSE))</f>
        <v>1</v>
      </c>
      <c r="AK151" s="287">
        <f>IF(ISERROR(VLOOKUP(N151,Tabellen!$O$5:$S$58,5,FALSE)),1,VLOOKUP(N151,Tabellen!$O$5:$S$58,5,FALSE))</f>
        <v>1</v>
      </c>
    </row>
    <row r="152" spans="1:37" ht="15" hidden="1" thickTop="1" thickBot="1">
      <c r="A152" s="285">
        <v>3</v>
      </c>
      <c r="B152" s="542"/>
      <c r="C152" s="736"/>
      <c r="D152" s="543"/>
      <c r="E152" s="1219" t="str">
        <f t="shared" si="59"/>
        <v/>
      </c>
      <c r="F152" s="1219"/>
      <c r="G152" s="1220"/>
      <c r="H152" s="534">
        <f ca="1">CHOOSE(AK152,0,
VLOOKUP(P152,OFFSET(INDIRECT("Tabellen!"&amp;AG152),0,0,,2),2,FALSE),
VLOOKUP(P152,OFFSET(INDIRECT("Tabellen!"&amp;AG152),0,0,,3),3,FALSE),
VLOOKUP(P152,OFFSET(INDIRECT("Tabellen!"&amp;AG152),0,0,,3),3,FALSE),
RechLuftschichtRuhend(B152,MATCH(Bauteile!O152,Tabellen!$W$5:$W$12,0)),
VLOOKUP(O152,OFFSET(INDIRECT("Tabellen!"&amp;AF152),0,0,,7),7,FALSE))</f>
        <v>0</v>
      </c>
      <c r="I152" s="316">
        <f t="shared" ca="1" si="63"/>
        <v>0</v>
      </c>
      <c r="J152" s="304" t="str">
        <f>IF(AND(C152="keilförmig",(C163+D163&gt;0)),"keilförmig nur homogen",
IF(AND(C151="",C152&lt;&gt;"",B152&lt;&gt;B153),"Dicke " &amp; C152 &amp; " &lt;&gt; Dicke "&amp; C153,
IF(AND(C151&lt;&gt;"",C152&lt;&gt;"",RIGHT(C151,1)&lt;&gt;RIGHT(C152,1),B152&lt;&gt;B153),"Dicke " &amp; C152 &amp; " &lt;&gt; Dicke "&amp; C153,
IF(COUNTIF(b01_x,"=a1")&gt;1,"a1 nur einmal",
IF(COUNTIF(b01_x,"=b1")&gt;1,"b1 nur einmal",
IF(COUNTIF(b01_x,"=a2")&gt;1,"a2 nur einmal",
IF(COUNTIF(b01_x,"=b2")&gt;1,"b2 nur einmal","")))))))</f>
        <v/>
      </c>
      <c r="M152" s="773" t="str">
        <f t="shared" ref="M152:M161" si="68">IF(C152="keilförmig",IF(H152&gt;0,B152/1000/H152,0),"")</f>
        <v/>
      </c>
      <c r="N152" s="546"/>
      <c r="O152" s="547"/>
      <c r="P152" s="548"/>
      <c r="R152" s="318"/>
      <c r="S152" s="1168" t="str">
        <f t="shared" si="64"/>
        <v/>
      </c>
      <c r="T152" s="404">
        <f t="shared" ca="1" si="65"/>
        <v>0</v>
      </c>
      <c r="U152" s="404">
        <f t="shared" ca="1" si="66"/>
        <v>0</v>
      </c>
      <c r="V152" s="404">
        <f t="shared" ca="1" si="66"/>
        <v>0</v>
      </c>
      <c r="X152" s="319">
        <f ca="1">IFERROR(IF(T152&gt;0,$H152,0)*T148,0)</f>
        <v>0</v>
      </c>
      <c r="Y152" s="319">
        <f ca="1">IFERROR(IF(LEFT($C152,1)="H",0,IF(U152&gt;0,$H152,IF($H152=0,0,VLOOKUP("H"&amp;Y149,$C150:$H161,6))))*U$104,0)</f>
        <v>0</v>
      </c>
      <c r="Z152" s="319">
        <f ca="1">IFERROR(IF(LEFT($C152,1)="H",0,IF(V152&gt;0,$H152,IF($H152=0,0,VLOOKUP("H"&amp;Z$105,$C150:$H161,6))))*V148,0)</f>
        <v>0</v>
      </c>
      <c r="AA152" s="404">
        <f t="shared" ca="1" si="67"/>
        <v>0</v>
      </c>
      <c r="AB152" s="300"/>
      <c r="AC152" s="19"/>
      <c r="AD152" s="19"/>
      <c r="AE152" s="286" t="str">
        <f>AdresseBezug(Tabellen!$O$5:$O$14)</f>
        <v>O5:O14</v>
      </c>
      <c r="AF152" s="286" t="e">
        <f>VLOOKUP(N152,Tabellen!$O$5:$R$57,3,FALSE)</f>
        <v>#N/A</v>
      </c>
      <c r="AG152" s="286" t="e">
        <f t="shared" ca="1" si="60"/>
        <v>#N/A</v>
      </c>
      <c r="AH152" s="288" t="b">
        <f t="shared" ca="1" si="61"/>
        <v>1</v>
      </c>
      <c r="AI152" s="288" t="b">
        <f t="shared" ca="1" si="62"/>
        <v>1</v>
      </c>
      <c r="AJ152" s="287">
        <f>IF(ISERROR(VLOOKUP(N152,Tabellen!$O$5:$R$58,4,FALSE)),1,VLOOKUP(N152,Tabellen!$O$5:$R$58,4,FALSE))</f>
        <v>1</v>
      </c>
      <c r="AK152" s="287">
        <f>IF(ISERROR(VLOOKUP(N152,Tabellen!$O$5:$S$58,5,FALSE)),1,VLOOKUP(N152,Tabellen!$O$5:$S$58,5,FALSE))</f>
        <v>1</v>
      </c>
    </row>
    <row r="153" spans="1:37" ht="15" hidden="1" thickTop="1" thickBot="1">
      <c r="A153" s="285">
        <v>4</v>
      </c>
      <c r="B153" s="542"/>
      <c r="C153" s="736"/>
      <c r="D153" s="543"/>
      <c r="E153" s="1219" t="str">
        <f t="shared" si="59"/>
        <v/>
      </c>
      <c r="F153" s="1219"/>
      <c r="G153" s="1220"/>
      <c r="H153" s="534">
        <f ca="1">CHOOSE(AK153,0,
VLOOKUP(P153,OFFSET(INDIRECT("Tabellen!"&amp;AG153),0,0,,2),2,FALSE),
VLOOKUP(P153,OFFSET(INDIRECT("Tabellen!"&amp;AG153),0,0,,3),3,FALSE),
VLOOKUP(P153,OFFSET(INDIRECT("Tabellen!"&amp;AG153),0,0,,3),3,FALSE),
RechLuftschichtRuhend(B153,MATCH(Bauteile!O153,Tabellen!$W$5:$W$12,0)),
VLOOKUP(O153,OFFSET(INDIRECT("Tabellen!"&amp;AF153),0,0,,7),7,FALSE))</f>
        <v>0</v>
      </c>
      <c r="I153" s="316">
        <f t="shared" ca="1" si="63"/>
        <v>0</v>
      </c>
      <c r="J153" s="304" t="str">
        <f>IF(AND(C153="keilförmig",(C163+D163&gt;0)),"keilförmig nur homogen",
IF(AND(C152="",C153&lt;&gt;"",B153&lt;&gt;B154),"Dicke " &amp; C153 &amp; " &lt;&gt; Dicke "&amp; C154,
IF(AND(C152&lt;&gt;"",C153&lt;&gt;"",RIGHT(C152,1)&lt;&gt;RIGHT(C153,1),B153&lt;&gt;B154),"Dicke " &amp; C153 &amp; " &lt;&gt; Dicke "&amp; C154,
IF(COUNTIF(b01_x,"=a1")&gt;1,"a1 nur einmal",
IF(COUNTIF(b01_x,"=b1")&gt;1,"b1 nur einmal",
IF(COUNTIF(b01_x,"=a2")&gt;1,"a2 nur einmal",
IF(COUNTIF(b01_x,"=b2")&gt;1,"b2 nur einmal","")))))))</f>
        <v/>
      </c>
      <c r="M153" s="773" t="str">
        <f t="shared" si="68"/>
        <v/>
      </c>
      <c r="N153" s="549"/>
      <c r="O153" s="550"/>
      <c r="P153" s="551"/>
      <c r="R153" s="318"/>
      <c r="S153" s="1168" t="str">
        <f t="shared" si="64"/>
        <v/>
      </c>
      <c r="T153" s="404">
        <f t="shared" ca="1" si="65"/>
        <v>0</v>
      </c>
      <c r="U153" s="404">
        <f t="shared" ca="1" si="66"/>
        <v>0</v>
      </c>
      <c r="V153" s="404">
        <f t="shared" ca="1" si="66"/>
        <v>0</v>
      </c>
      <c r="X153" s="319">
        <f ca="1">IFERROR(IF(T153&gt;0,$H153,0)*T148,0)</f>
        <v>0</v>
      </c>
      <c r="Y153" s="319">
        <f ca="1">IFERROR(IF(LEFT($C153,1)="H",0,IF(U153&gt;0,$H153,IF($H153=0,0,VLOOKUP("H"&amp;Y149,$C150:$H161,6))))*U$104,0)</f>
        <v>0</v>
      </c>
      <c r="Z153" s="319">
        <f ca="1">IFERROR(IF(LEFT($C153,1)="H",0,IF(V153&gt;0,$H153,IF($H153=0,0,VLOOKUP("H"&amp;Z$105,$C150:$H161,6))))*V148,0)</f>
        <v>0</v>
      </c>
      <c r="AA153" s="404">
        <f t="shared" ca="1" si="67"/>
        <v>0</v>
      </c>
      <c r="AB153" s="300"/>
      <c r="AC153" s="19"/>
      <c r="AD153" s="19"/>
      <c r="AE153" s="286" t="str">
        <f>AdresseBezug(Tabellen!$O$5:$O$14)</f>
        <v>O5:O14</v>
      </c>
      <c r="AF153" s="286" t="e">
        <f>VLOOKUP(N153,Tabellen!$O$5:$R$57,3,FALSE)</f>
        <v>#N/A</v>
      </c>
      <c r="AG153" s="286" t="e">
        <f t="shared" ca="1" si="60"/>
        <v>#N/A</v>
      </c>
      <c r="AH153" s="288" t="b">
        <f t="shared" ca="1" si="61"/>
        <v>1</v>
      </c>
      <c r="AI153" s="288" t="b">
        <f t="shared" ca="1" si="62"/>
        <v>1</v>
      </c>
      <c r="AJ153" s="287">
        <f>IF(ISERROR(VLOOKUP(N153,Tabellen!$O$5:$R$58,4,FALSE)),1,VLOOKUP(N153,Tabellen!$O$5:$R$58,4,FALSE))</f>
        <v>1</v>
      </c>
      <c r="AK153" s="287">
        <f>IF(ISERROR(VLOOKUP(N153,Tabellen!$O$5:$S$58,5,FALSE)),1,VLOOKUP(N153,Tabellen!$O$5:$S$58,5,FALSE))</f>
        <v>1</v>
      </c>
    </row>
    <row r="154" spans="1:37" ht="15" hidden="1" thickTop="1" thickBot="1">
      <c r="A154" s="285">
        <v>5</v>
      </c>
      <c r="B154" s="542"/>
      <c r="C154" s="736"/>
      <c r="D154" s="543"/>
      <c r="E154" s="1219" t="str">
        <f t="shared" si="59"/>
        <v/>
      </c>
      <c r="F154" s="1219"/>
      <c r="G154" s="1220"/>
      <c r="H154" s="534">
        <f ca="1">CHOOSE(AK154,0,
VLOOKUP(P154,OFFSET(INDIRECT("Tabellen!"&amp;AG154),0,0,,2),2,FALSE),
VLOOKUP(P154,OFFSET(INDIRECT("Tabellen!"&amp;AG154),0,0,,3),3,FALSE),
VLOOKUP(P154,OFFSET(INDIRECT("Tabellen!"&amp;AG154),0,0,,3),3,FALSE),
RechLuftschichtRuhend(B154,MATCH(Bauteile!O154,Tabellen!$W$5:$W$12,0)),
VLOOKUP(O154,OFFSET(INDIRECT("Tabellen!"&amp;AF154),0,0,,7),7,FALSE))</f>
        <v>0</v>
      </c>
      <c r="I154" s="316">
        <f t="shared" ca="1" si="63"/>
        <v>0</v>
      </c>
      <c r="J154" s="304" t="str">
        <f>IF(AND(C154="keilförmig",(C163+D163&gt;0)),"keilförmig nur homogen",
IF(AND(C153="",C154&lt;&gt;"",B154&lt;&gt;B155),"Dicke " &amp; C154 &amp; " &lt;&gt; Dicke "&amp; C155,
IF(AND(C153&lt;&gt;"",C154&lt;&gt;"",RIGHT(C153,1)&lt;&gt;RIGHT(C154,1),B154&lt;&gt;B155),"Dicke " &amp; C154 &amp; " &lt;&gt; Dicke "&amp; C155,
IF(COUNTIF(b01_x,"=a1")&gt;1,"a1 nur einmal",
IF(COUNTIF(b01_x,"=b1")&gt;1,"b1 nur einmal",
IF(COUNTIF(b01_x,"=a2")&gt;1,"a2 nur einmal",
IF(COUNTIF(b01_x,"=b2")&gt;1,"b2 nur einmal","")))))))</f>
        <v/>
      </c>
      <c r="M154" s="773" t="str">
        <f t="shared" si="68"/>
        <v/>
      </c>
      <c r="N154" s="549"/>
      <c r="O154" s="550"/>
      <c r="P154" s="551"/>
      <c r="R154" s="318"/>
      <c r="S154" s="1168" t="str">
        <f t="shared" si="64"/>
        <v/>
      </c>
      <c r="T154" s="404">
        <f t="shared" ca="1" si="65"/>
        <v>0</v>
      </c>
      <c r="U154" s="404">
        <f t="shared" ca="1" si="66"/>
        <v>0</v>
      </c>
      <c r="V154" s="404">
        <f t="shared" ca="1" si="66"/>
        <v>0</v>
      </c>
      <c r="X154" s="319">
        <f ca="1">IFERROR(IF(T154&gt;0,$H154,0)*T148,0)</f>
        <v>0</v>
      </c>
      <c r="Y154" s="319">
        <f ca="1">IFERROR(IF(LEFT($C154,1)="H",0,IF(U154&gt;0,$H154,IF($H154=0,0,VLOOKUP("H"&amp;Y149,$C150:$H161,6))))*U$104,0)</f>
        <v>0</v>
      </c>
      <c r="Z154" s="319">
        <f ca="1">IFERROR(IF(LEFT($C154,1)="H",0,IF(V154&gt;0,$H154,IF($H154=0,0,VLOOKUP("H"&amp;Z$105,$C150:$H161,6))))*V148,0)</f>
        <v>0</v>
      </c>
      <c r="AA154" s="404">
        <f t="shared" ca="1" si="67"/>
        <v>0</v>
      </c>
      <c r="AB154" s="299"/>
      <c r="AC154" s="19"/>
      <c r="AD154" s="19"/>
      <c r="AE154" s="286" t="str">
        <f>AdresseBezug(Tabellen!$O$5:$O$14)</f>
        <v>O5:O14</v>
      </c>
      <c r="AF154" s="286" t="e">
        <f>VLOOKUP(N154,Tabellen!$O$5:$R$57,3,FALSE)</f>
        <v>#N/A</v>
      </c>
      <c r="AG154" s="286" t="e">
        <f t="shared" ca="1" si="60"/>
        <v>#N/A</v>
      </c>
      <c r="AH154" s="288" t="b">
        <f t="shared" ca="1" si="61"/>
        <v>1</v>
      </c>
      <c r="AI154" s="288" t="b">
        <f t="shared" ca="1" si="62"/>
        <v>1</v>
      </c>
      <c r="AJ154" s="287">
        <f>IF(ISERROR(VLOOKUP(N154,Tabellen!$O$5:$R$58,4,FALSE)),1,VLOOKUP(N154,Tabellen!$O$5:$R$58,4,FALSE))</f>
        <v>1</v>
      </c>
      <c r="AK154" s="287">
        <f>IF(ISERROR(VLOOKUP(N154,Tabellen!$O$5:$S$58,5,FALSE)),1,VLOOKUP(N154,Tabellen!$O$5:$S$58,5,FALSE))</f>
        <v>1</v>
      </c>
    </row>
    <row r="155" spans="1:37" ht="15" hidden="1" thickTop="1" thickBot="1">
      <c r="A155" s="285">
        <v>6</v>
      </c>
      <c r="B155" s="542"/>
      <c r="C155" s="736"/>
      <c r="D155" s="543"/>
      <c r="E155" s="1219" t="str">
        <f t="shared" si="59"/>
        <v/>
      </c>
      <c r="F155" s="1219"/>
      <c r="G155" s="1220"/>
      <c r="H155" s="534">
        <f ca="1">CHOOSE(AK155,0,
VLOOKUP(P155,OFFSET(INDIRECT("Tabellen!"&amp;AG155),0,0,,2),2,FALSE),
VLOOKUP(P155,OFFSET(INDIRECT("Tabellen!"&amp;AG155),0,0,,3),3,FALSE),
VLOOKUP(P155,OFFSET(INDIRECT("Tabellen!"&amp;AG155),0,0,,3),3,FALSE),
RechLuftschichtRuhend(B155,MATCH(Bauteile!O155,Tabellen!$W$5:$W$12,0)),
VLOOKUP(O155,OFFSET(INDIRECT("Tabellen!"&amp;AF155),0,0,,7),7,FALSE))</f>
        <v>0</v>
      </c>
      <c r="I155" s="316">
        <f t="shared" ca="1" si="63"/>
        <v>0</v>
      </c>
      <c r="J155" s="304" t="str">
        <f>IF(AND(C155="keilförmig",(C163+D163&gt;0)),"keilförmig nur homogen",
IF(AND(C154="",C155&lt;&gt;"",B155&lt;&gt;B156),"Dicke " &amp; C155 &amp; " &lt;&gt; Dicke "&amp; C156,
IF(AND(C154&lt;&gt;"",C155&lt;&gt;"",RIGHT(C154,1)&lt;&gt;RIGHT(C155,1),B155&lt;&gt;B156),"Dicke " &amp; C155 &amp; " &lt;&gt; Dicke "&amp; C156,
IF(COUNTIF(b01_x,"=a1")&gt;1,"a1 nur einmal",
IF(COUNTIF(b01_x,"=b1")&gt;1,"b1 nur einmal",
IF(COUNTIF(b01_x,"=a2")&gt;1,"a2 nur einmal",
IF(COUNTIF(b01_x,"=b2")&gt;1,"b2 nur einmal","")))))))</f>
        <v/>
      </c>
      <c r="M155" s="773" t="str">
        <f t="shared" si="68"/>
        <v/>
      </c>
      <c r="N155" s="549"/>
      <c r="O155" s="550"/>
      <c r="P155" s="551"/>
      <c r="R155" s="318"/>
      <c r="S155" s="1168" t="str">
        <f t="shared" si="64"/>
        <v/>
      </c>
      <c r="T155" s="404">
        <f t="shared" ca="1" si="65"/>
        <v>0</v>
      </c>
      <c r="U155" s="404">
        <f t="shared" ca="1" si="66"/>
        <v>0</v>
      </c>
      <c r="V155" s="404">
        <f t="shared" ca="1" si="66"/>
        <v>0</v>
      </c>
      <c r="X155" s="319">
        <f ca="1">IFERROR(IF(T155&gt;0,$H155,0)*T148,0)</f>
        <v>0</v>
      </c>
      <c r="Y155" s="319">
        <f ca="1">IFERROR(IF(LEFT($C155,1)="H",0,IF(U155&gt;0,$H155,IF($H155=0,0,VLOOKUP("H"&amp;Y149,$C150:$H161,6))))*U$104,0)</f>
        <v>0</v>
      </c>
      <c r="Z155" s="319">
        <f ca="1">IFERROR(IF(LEFT($C155,1)="H",0,IF(V155&gt;0,$H155,IF($H155=0,0,VLOOKUP("H"&amp;Z$105,$C150:$H161,6))))*V148,0)</f>
        <v>0</v>
      </c>
      <c r="AA155" s="404">
        <f t="shared" ca="1" si="67"/>
        <v>0</v>
      </c>
      <c r="AB155" s="299"/>
      <c r="AC155" s="19"/>
      <c r="AD155" s="19"/>
      <c r="AE155" s="286" t="str">
        <f>AdresseBezug(Tabellen!$O$5:$O$14)</f>
        <v>O5:O14</v>
      </c>
      <c r="AF155" s="286" t="e">
        <f>VLOOKUP(N155,Tabellen!$O$5:$R$57,3,FALSE)</f>
        <v>#N/A</v>
      </c>
      <c r="AG155" s="286" t="e">
        <f t="shared" ca="1" si="60"/>
        <v>#N/A</v>
      </c>
      <c r="AH155" s="288" t="b">
        <f t="shared" ca="1" si="61"/>
        <v>1</v>
      </c>
      <c r="AI155" s="288" t="b">
        <f t="shared" ca="1" si="62"/>
        <v>1</v>
      </c>
      <c r="AJ155" s="287">
        <f>IF(ISERROR(VLOOKUP(N155,Tabellen!$O$5:$R$58,4,FALSE)),1,VLOOKUP(N155,Tabellen!$O$5:$R$58,4,FALSE))</f>
        <v>1</v>
      </c>
      <c r="AK155" s="287">
        <f>IF(ISERROR(VLOOKUP(N155,Tabellen!$O$5:$S$58,5,FALSE)),1,VLOOKUP(N155,Tabellen!$O$5:$S$58,5,FALSE))</f>
        <v>1</v>
      </c>
    </row>
    <row r="156" spans="1:37" ht="15" hidden="1" thickTop="1" thickBot="1">
      <c r="A156" s="285">
        <v>7</v>
      </c>
      <c r="B156" s="542"/>
      <c r="C156" s="736"/>
      <c r="D156" s="543"/>
      <c r="E156" s="1219" t="str">
        <f t="shared" si="59"/>
        <v/>
      </c>
      <c r="F156" s="1219"/>
      <c r="G156" s="1220"/>
      <c r="H156" s="534">
        <f ca="1">CHOOSE(AK156,0,
VLOOKUP(P156,OFFSET(INDIRECT("Tabellen!"&amp;AG156),0,0,,2),2,FALSE),
VLOOKUP(P156,OFFSET(INDIRECT("Tabellen!"&amp;AG156),0,0,,3),3,FALSE),
VLOOKUP(P156,OFFSET(INDIRECT("Tabellen!"&amp;AG156),0,0,,3),3,FALSE),
RechLuftschichtRuhend(B156,MATCH(Bauteile!O156,Tabellen!$W$5:$W$12,0)),
VLOOKUP(O156,OFFSET(INDIRECT("Tabellen!"&amp;AF156),0,0,,7),7,FALSE))</f>
        <v>0</v>
      </c>
      <c r="I156" s="316">
        <f t="shared" ca="1" si="63"/>
        <v>0</v>
      </c>
      <c r="J156" s="304" t="str">
        <f>IF(AND(C156="keilförmig",(C163+D163&gt;0)),"keilförmig nur homogen",
IF(AND(C155="",C156&lt;&gt;"",B156&lt;&gt;B157),"Dicke " &amp; C156 &amp; " &lt;&gt; Dicke "&amp; C157,
IF(AND(C155&lt;&gt;"",C156&lt;&gt;"",RIGHT(C155,1)&lt;&gt;RIGHT(C156,1),B156&lt;&gt;B157),"Dicke " &amp; C156 &amp; " &lt;&gt; Dicke "&amp; C157,
IF(COUNTIF(b01_x,"=a1")&gt;1,"a1 nur einmal",
IF(COUNTIF(b01_x,"=b1")&gt;1,"b1 nur einmal",
IF(COUNTIF(b01_x,"=a2")&gt;1,"a2 nur einmal",
IF(COUNTIF(b01_x,"=b2")&gt;1,"b2 nur einmal","")))))))</f>
        <v/>
      </c>
      <c r="M156" s="773" t="str">
        <f t="shared" si="68"/>
        <v/>
      </c>
      <c r="N156" s="546"/>
      <c r="O156" s="550"/>
      <c r="P156" s="551"/>
      <c r="R156" s="318"/>
      <c r="S156" s="1168" t="str">
        <f t="shared" si="64"/>
        <v/>
      </c>
      <c r="T156" s="404">
        <f t="shared" ca="1" si="65"/>
        <v>0</v>
      </c>
      <c r="U156" s="404">
        <f t="shared" ca="1" si="66"/>
        <v>0</v>
      </c>
      <c r="V156" s="404">
        <f t="shared" ca="1" si="66"/>
        <v>0</v>
      </c>
      <c r="X156" s="319">
        <f ca="1">IFERROR(IF(T156&gt;0,$H156,0)*T148,0)</f>
        <v>0</v>
      </c>
      <c r="Y156" s="319">
        <f ca="1">IFERROR(IF(LEFT($C156,1)="H",0,IF(U156&gt;0,$H156,IF($H156=0,0,VLOOKUP("H"&amp;Y149,$C150:$H161,6))))*U$104,0)</f>
        <v>0</v>
      </c>
      <c r="Z156" s="319">
        <f ca="1">IFERROR(IF(LEFT($C156,1)="H",0,IF(V156&gt;0,$H156,IF($H156=0,0,VLOOKUP("H"&amp;Z$105,$C150:$H161,6))))*V148,0)</f>
        <v>0</v>
      </c>
      <c r="AA156" s="404">
        <f t="shared" ca="1" si="67"/>
        <v>0</v>
      </c>
      <c r="AB156" s="299"/>
      <c r="AC156" s="19"/>
      <c r="AD156" s="19"/>
      <c r="AE156" s="286" t="str">
        <f>AdresseBezug(Tabellen!$O$5:$O$14)</f>
        <v>O5:O14</v>
      </c>
      <c r="AF156" s="286" t="e">
        <f>VLOOKUP(N156,Tabellen!$O$5:$R$57,3,FALSE)</f>
        <v>#N/A</v>
      </c>
      <c r="AG156" s="286" t="e">
        <f t="shared" ca="1" si="60"/>
        <v>#N/A</v>
      </c>
      <c r="AH156" s="288" t="b">
        <f t="shared" ca="1" si="61"/>
        <v>1</v>
      </c>
      <c r="AI156" s="288" t="b">
        <f t="shared" ca="1" si="62"/>
        <v>1</v>
      </c>
      <c r="AJ156" s="287">
        <f>IF(ISERROR(VLOOKUP(N156,Tabellen!$O$5:$R$58,4,FALSE)),1,VLOOKUP(N156,Tabellen!$O$5:$R$58,4,FALSE))</f>
        <v>1</v>
      </c>
      <c r="AK156" s="287">
        <f>IF(ISERROR(VLOOKUP(N156,Tabellen!$O$5:$S$58,5,FALSE)),1,VLOOKUP(N156,Tabellen!$O$5:$S$58,5,FALSE))</f>
        <v>1</v>
      </c>
    </row>
    <row r="157" spans="1:37" ht="15" hidden="1" thickTop="1" thickBot="1">
      <c r="A157" s="285">
        <v>8</v>
      </c>
      <c r="B157" s="544"/>
      <c r="C157" s="736"/>
      <c r="D157" s="545"/>
      <c r="E157" s="1219" t="str">
        <f t="shared" si="59"/>
        <v/>
      </c>
      <c r="F157" s="1219"/>
      <c r="G157" s="1220"/>
      <c r="H157" s="534">
        <f ca="1">CHOOSE(AK157,0,
VLOOKUP(P157,OFFSET(INDIRECT("Tabellen!"&amp;AG157),0,0,,2),2,FALSE),
VLOOKUP(P157,OFFSET(INDIRECT("Tabellen!"&amp;AG157),0,0,,3),3,FALSE),
VLOOKUP(P157,OFFSET(INDIRECT("Tabellen!"&amp;AG157),0,0,,3),3,FALSE),
RechLuftschichtRuhend(B157,MATCH(Bauteile!O157,Tabellen!$W$5:$W$12,0)),
VLOOKUP(O157,OFFSET(INDIRECT("Tabellen!"&amp;AF157),0,0,,7),7,FALSE))</f>
        <v>0</v>
      </c>
      <c r="I157" s="316">
        <f t="shared" ca="1" si="63"/>
        <v>0</v>
      </c>
      <c r="J157" s="304" t="str">
        <f>IF(AND(C157="keilförmig",(C163+D163&gt;0)),"keilförmig nur homogen",
IF(AND(C156="",C157&lt;&gt;"",B157&lt;&gt;B158),"Dicke " &amp; C157 &amp; " &lt;&gt; Dicke "&amp; C158,
IF(AND(C156&lt;&gt;"",C157&lt;&gt;"",RIGHT(C156,1)&lt;&gt;RIGHT(C157,1),B157&lt;&gt;B158),"Dicke " &amp; C157 &amp; " &lt;&gt; Dicke "&amp; C158,
IF(COUNTIF(b01_x,"=a1")&gt;1,"a1 nur einmal",
IF(COUNTIF(b01_x,"=b1")&gt;1,"b1 nur einmal",
IF(COUNTIF(b01_x,"=a2")&gt;1,"a2 nur einmal",
IF(COUNTIF(b01_x,"=b2")&gt;1,"b2 nur einmal","")))))))</f>
        <v/>
      </c>
      <c r="M157" s="773" t="str">
        <f t="shared" si="68"/>
        <v/>
      </c>
      <c r="N157" s="552"/>
      <c r="O157" s="553"/>
      <c r="P157" s="554"/>
      <c r="R157" s="318"/>
      <c r="S157" s="1168" t="str">
        <f t="shared" si="64"/>
        <v/>
      </c>
      <c r="T157" s="404">
        <f t="shared" ca="1" si="65"/>
        <v>0</v>
      </c>
      <c r="U157" s="404">
        <f t="shared" ca="1" si="66"/>
        <v>0</v>
      </c>
      <c r="V157" s="404">
        <f t="shared" ca="1" si="66"/>
        <v>0</v>
      </c>
      <c r="X157" s="319">
        <f ca="1">IFERROR(IF(T157&gt;0,$H157,0)*T148,0)</f>
        <v>0</v>
      </c>
      <c r="Y157" s="319">
        <f ca="1">IFERROR(IF(LEFT($C157,1)="H",0,IF(U157&gt;0,$H157,IF($H157=0,0,VLOOKUP("H"&amp;Y149,$C150:$H161,6))))*U$104,0)</f>
        <v>0</v>
      </c>
      <c r="Z157" s="319">
        <f ca="1">IFERROR(IF(LEFT($C157,1)="H",0,IF(V157&gt;0,$H157,IF($H157=0,0,VLOOKUP("H"&amp;Z$105,$C150:$H161,6))))*V148,0)</f>
        <v>0</v>
      </c>
      <c r="AA157" s="404">
        <f t="shared" ca="1" si="67"/>
        <v>0</v>
      </c>
      <c r="AB157" s="299"/>
      <c r="AC157" s="19"/>
      <c r="AD157" s="19"/>
      <c r="AE157" s="286" t="str">
        <f>AdresseBezug(Tabellen!$O$5:$O$14)</f>
        <v>O5:O14</v>
      </c>
      <c r="AF157" s="286" t="e">
        <f>VLOOKUP(N157,Tabellen!$O$5:$R$57,3,FALSE)</f>
        <v>#N/A</v>
      </c>
      <c r="AG157" s="286" t="e">
        <f t="shared" ca="1" si="60"/>
        <v>#N/A</v>
      </c>
      <c r="AH157" s="288" t="b">
        <f t="shared" ca="1" si="61"/>
        <v>1</v>
      </c>
      <c r="AI157" s="288" t="b">
        <f t="shared" ca="1" si="62"/>
        <v>1</v>
      </c>
      <c r="AJ157" s="287">
        <f>IF(ISERROR(VLOOKUP(N157,Tabellen!$O$5:$R$58,4,FALSE)),1,VLOOKUP(N157,Tabellen!$O$5:$R$58,4,FALSE))</f>
        <v>1</v>
      </c>
      <c r="AK157" s="287">
        <f>IF(ISERROR(VLOOKUP(N157,Tabellen!$O$5:$S$58,5,FALSE)),1,VLOOKUP(N157,Tabellen!$O$5:$S$58,5,FALSE))</f>
        <v>1</v>
      </c>
    </row>
    <row r="158" spans="1:37" ht="15" hidden="1" thickTop="1" thickBot="1">
      <c r="A158" s="285">
        <v>9</v>
      </c>
      <c r="B158" s="544"/>
      <c r="C158" s="736"/>
      <c r="D158" s="545"/>
      <c r="E158" s="1219" t="str">
        <f t="shared" si="59"/>
        <v/>
      </c>
      <c r="F158" s="1219"/>
      <c r="G158" s="1220"/>
      <c r="H158" s="534">
        <f ca="1">CHOOSE(AK158,0,
VLOOKUP(P158,OFFSET(INDIRECT("Tabellen!"&amp;AG158),0,0,,2),2,FALSE),
VLOOKUP(P158,OFFSET(INDIRECT("Tabellen!"&amp;AG158),0,0,,3),3,FALSE),
VLOOKUP(P158,OFFSET(INDIRECT("Tabellen!"&amp;AG158),0,0,,3),3,FALSE),
RechLuftschichtRuhend(B158,MATCH(Bauteile!O158,Tabellen!$W$5:$W$12,0)),
VLOOKUP(O158,OFFSET(INDIRECT("Tabellen!"&amp;AF158),0,0,,7),7,FALSE))</f>
        <v>0</v>
      </c>
      <c r="I158" s="316">
        <f t="shared" ca="1" si="63"/>
        <v>0</v>
      </c>
      <c r="J158" s="304" t="str">
        <f>IF(AND(C158="keilförmig",(C163+D163&gt;0)),"keilförmig nur homogen",
IF(AND(C157="",C158&lt;&gt;"",B158&lt;&gt;B159),"Dicke " &amp; C158 &amp; " &lt;&gt; Dicke "&amp; C159,
IF(AND(C157&lt;&gt;"",C158&lt;&gt;"",RIGHT(C157,1)&lt;&gt;RIGHT(C158,1),B158&lt;&gt;B159),"Dicke " &amp; C158 &amp; " &lt;&gt; Dicke "&amp; C159,
IF(COUNTIF(b01_x,"=a1")&gt;1,"a1 nur einmal",
IF(COUNTIF(b01_x,"=b1")&gt;1,"b1 nur einmal",
IF(COUNTIF(b01_x,"=a2")&gt;1,"a2 nur einmal",
IF(COUNTIF(b01_x,"=b2")&gt;1,"b2 nur einmal","")))))))</f>
        <v/>
      </c>
      <c r="M158" s="773" t="str">
        <f t="shared" si="68"/>
        <v/>
      </c>
      <c r="N158" s="552"/>
      <c r="O158" s="553"/>
      <c r="P158" s="554"/>
      <c r="R158" s="318"/>
      <c r="S158" s="1168" t="str">
        <f t="shared" si="64"/>
        <v/>
      </c>
      <c r="T158" s="404">
        <f t="shared" ca="1" si="65"/>
        <v>0</v>
      </c>
      <c r="U158" s="404">
        <f t="shared" ca="1" si="66"/>
        <v>0</v>
      </c>
      <c r="V158" s="404">
        <f t="shared" ca="1" si="66"/>
        <v>0</v>
      </c>
      <c r="X158" s="319">
        <f ca="1">IFERROR(IF(T158&gt;0,$H158,0)*T148,0)</f>
        <v>0</v>
      </c>
      <c r="Y158" s="319">
        <f ca="1">IFERROR(IF(LEFT($C158,1)="H",0,IF(U158&gt;0,$H158,IF($H158=0,0,VLOOKUP("H"&amp;Y149,$C150:$H161,6))))*U$104,0)</f>
        <v>0</v>
      </c>
      <c r="Z158" s="319">
        <f ca="1">IFERROR(IF(LEFT($C158,1)="H",0,IF(V158&gt;0,$H158,IF($H158=0,0,VLOOKUP("H"&amp;Z$105,$C150:$H161,6))))*V148,0)</f>
        <v>0</v>
      </c>
      <c r="AA158" s="404">
        <f t="shared" ca="1" si="67"/>
        <v>0</v>
      </c>
      <c r="AB158" s="299"/>
      <c r="AC158" s="19"/>
      <c r="AD158" s="19"/>
      <c r="AE158" s="286" t="str">
        <f>AdresseBezug(Tabellen!$O$5:$O$14)</f>
        <v>O5:O14</v>
      </c>
      <c r="AF158" s="286" t="e">
        <f>VLOOKUP(N158,Tabellen!$O$5:$R$57,3,FALSE)</f>
        <v>#N/A</v>
      </c>
      <c r="AG158" s="286" t="e">
        <f t="shared" ca="1" si="60"/>
        <v>#N/A</v>
      </c>
      <c r="AH158" s="288" t="b">
        <f t="shared" ca="1" si="61"/>
        <v>1</v>
      </c>
      <c r="AI158" s="288" t="b">
        <f t="shared" ca="1" si="62"/>
        <v>1</v>
      </c>
      <c r="AJ158" s="287">
        <f>IF(ISERROR(VLOOKUP(N158,Tabellen!$O$5:$R$58,4,FALSE)),1,VLOOKUP(N158,Tabellen!$O$5:$R$58,4,FALSE))</f>
        <v>1</v>
      </c>
      <c r="AK158" s="287">
        <f>IF(ISERROR(VLOOKUP(N158,Tabellen!$O$5:$S$58,5,FALSE)),1,VLOOKUP(N158,Tabellen!$O$5:$S$58,5,FALSE))</f>
        <v>1</v>
      </c>
    </row>
    <row r="159" spans="1:37" ht="15" hidden="1" thickTop="1" thickBot="1">
      <c r="A159" s="285">
        <v>10</v>
      </c>
      <c r="B159" s="544"/>
      <c r="C159" s="736"/>
      <c r="D159" s="545"/>
      <c r="E159" s="1219" t="str">
        <f t="shared" si="59"/>
        <v/>
      </c>
      <c r="F159" s="1219"/>
      <c r="G159" s="1220"/>
      <c r="H159" s="534">
        <f ca="1">CHOOSE(AK159,0,
VLOOKUP(P159,OFFSET(INDIRECT("Tabellen!"&amp;AG159),0,0,,2),2,FALSE),
VLOOKUP(P159,OFFSET(INDIRECT("Tabellen!"&amp;AG159),0,0,,3),3,FALSE),
VLOOKUP(P159,OFFSET(INDIRECT("Tabellen!"&amp;AG159),0,0,,3),3,FALSE),
RechLuftschichtRuhend(B159,MATCH(Bauteile!O159,Tabellen!$W$5:$W$12,0)),
VLOOKUP(O159,OFFSET(INDIRECT("Tabellen!"&amp;AF159),0,0,,7),7,FALSE))</f>
        <v>0</v>
      </c>
      <c r="I159" s="316">
        <f t="shared" ca="1" si="63"/>
        <v>0</v>
      </c>
      <c r="J159" s="304" t="str">
        <f>IF(AND(C159="keilförmig",(C163+D163&gt;0)),"keilförmig nur homogen",
IF(AND(C158="",C159&lt;&gt;"",B159&lt;&gt;B160),"Dicke " &amp; C159 &amp; " &lt;&gt; Dicke "&amp; C160,
IF(AND(C158&lt;&gt;"",C159&lt;&gt;"",RIGHT(C158,1)&lt;&gt;RIGHT(C159,1),B159&lt;&gt;B160),"Dicke " &amp; C159 &amp; " &lt;&gt; Dicke "&amp; C160,
IF(COUNTIF(b01_x,"=a1")&gt;1,"a1 nur einmal",
IF(COUNTIF(b01_x,"=b1")&gt;1,"b1 nur einmal",
IF(COUNTIF(b01_x,"=a2")&gt;1,"a2 nur einmal",
IF(COUNTIF(b01_x,"=b2")&gt;1,"b2 nur einmal","")))))))</f>
        <v/>
      </c>
      <c r="M159" s="773" t="str">
        <f t="shared" si="68"/>
        <v/>
      </c>
      <c r="N159" s="552"/>
      <c r="O159" s="553"/>
      <c r="P159" s="554"/>
      <c r="R159" s="318"/>
      <c r="S159" s="1168" t="str">
        <f t="shared" si="64"/>
        <v/>
      </c>
      <c r="T159" s="404">
        <f t="shared" ca="1" si="65"/>
        <v>0</v>
      </c>
      <c r="U159" s="404">
        <f t="shared" ca="1" si="66"/>
        <v>0</v>
      </c>
      <c r="V159" s="404">
        <f t="shared" ca="1" si="66"/>
        <v>0</v>
      </c>
      <c r="X159" s="319">
        <f ca="1">IFERROR(IF(T159&gt;0,$H159,0)*T148,0)</f>
        <v>0</v>
      </c>
      <c r="Y159" s="319">
        <f ca="1">IFERROR(IF(LEFT($C159,1)="H",0,IF(U159&gt;0,$H159,IF($H159=0,0,VLOOKUP("H"&amp;Y149,$C150:$H161,6))))*U$104,0)</f>
        <v>0</v>
      </c>
      <c r="Z159" s="319">
        <f ca="1">IFERROR(IF(LEFT($C159,1)="H",0,IF(V159&gt;0,$H159,IF($H159=0,0,VLOOKUP("H"&amp;Z$105,$C150:$H161,6))))*V148,0)</f>
        <v>0</v>
      </c>
      <c r="AA159" s="404">
        <f t="shared" ca="1" si="67"/>
        <v>0</v>
      </c>
      <c r="AB159" s="299"/>
      <c r="AC159" s="19"/>
      <c r="AD159" s="19"/>
      <c r="AE159" s="286" t="str">
        <f>AdresseBezug(Tabellen!$O$5:$O$14)</f>
        <v>O5:O14</v>
      </c>
      <c r="AF159" s="286" t="e">
        <f>VLOOKUP(N159,Tabellen!$O$5:$R$57,3,FALSE)</f>
        <v>#N/A</v>
      </c>
      <c r="AG159" s="286" t="e">
        <f t="shared" ca="1" si="60"/>
        <v>#N/A</v>
      </c>
      <c r="AH159" s="288" t="b">
        <f t="shared" ca="1" si="61"/>
        <v>1</v>
      </c>
      <c r="AI159" s="288" t="b">
        <f t="shared" ca="1" si="62"/>
        <v>1</v>
      </c>
      <c r="AJ159" s="287">
        <f>IF(ISERROR(VLOOKUP(N159,Tabellen!$O$5:$R$58,4,FALSE)),1,VLOOKUP(N159,Tabellen!$O$5:$R$58,4,FALSE))</f>
        <v>1</v>
      </c>
      <c r="AK159" s="287">
        <f>IF(ISERROR(VLOOKUP(N159,Tabellen!$O$5:$S$58,5,FALSE)),1,VLOOKUP(N159,Tabellen!$O$5:$S$58,5,FALSE))</f>
        <v>1</v>
      </c>
    </row>
    <row r="160" spans="1:37" ht="15" hidden="1" thickTop="1" thickBot="1">
      <c r="A160" s="285">
        <v>11</v>
      </c>
      <c r="B160" s="544"/>
      <c r="C160" s="736"/>
      <c r="D160" s="545"/>
      <c r="E160" s="1219" t="str">
        <f t="shared" si="59"/>
        <v/>
      </c>
      <c r="F160" s="1219"/>
      <c r="G160" s="1220"/>
      <c r="H160" s="534">
        <f ca="1">CHOOSE(AK160,0,
VLOOKUP(P160,OFFSET(INDIRECT("Tabellen!"&amp;AG160),0,0,,2),2,FALSE),
VLOOKUP(P160,OFFSET(INDIRECT("Tabellen!"&amp;AG160),0,0,,3),3,FALSE),
VLOOKUP(P160,OFFSET(INDIRECT("Tabellen!"&amp;AG160),0,0,,3),3,FALSE),
RechLuftschichtRuhend(B160,MATCH(Bauteile!O160,Tabellen!$W$5:$W$12,0)),
VLOOKUP(O160,OFFSET(INDIRECT("Tabellen!"&amp;AF160),0,0,,7),7,FALSE))</f>
        <v>0</v>
      </c>
      <c r="I160" s="316">
        <f t="shared" ca="1" si="63"/>
        <v>0</v>
      </c>
      <c r="J160" s="304" t="str">
        <f>IF(AND(C160="keilförmig",(C163+D163&gt;0)),"keilförmig nur homogen",
IF(AND(C159="",C160&lt;&gt;"",B160&lt;&gt;B161),"Dicke " &amp; C160 &amp; " &lt;&gt; Dicke "&amp; C161,
IF(AND(C159&lt;&gt;"",C160&lt;&gt;"",RIGHT(C159,1)&lt;&gt;RIGHT(C160,1),B160&lt;&gt;B161),"Dicke " &amp; C160 &amp; " &lt;&gt; Dicke "&amp; C161,
IF(COUNTIF(b01_x,"=a1")&gt;1,"a1 nur einmal",
IF(COUNTIF(b01_x,"=b1")&gt;1,"b1 nur einmal",
IF(COUNTIF(b01_x,"=a2")&gt;1,"a2 nur einmal",
IF(COUNTIF(b01_x,"=b2")&gt;1,"b2 nur einmal","")))))))</f>
        <v/>
      </c>
      <c r="M160" s="773" t="str">
        <f t="shared" si="68"/>
        <v/>
      </c>
      <c r="N160" s="552"/>
      <c r="O160" s="553"/>
      <c r="P160" s="554"/>
      <c r="R160" s="318"/>
      <c r="S160" s="1168" t="str">
        <f t="shared" si="64"/>
        <v/>
      </c>
      <c r="T160" s="404">
        <f t="shared" ca="1" si="65"/>
        <v>0</v>
      </c>
      <c r="U160" s="404">
        <f t="shared" ca="1" si="66"/>
        <v>0</v>
      </c>
      <c r="V160" s="404">
        <f t="shared" ca="1" si="66"/>
        <v>0</v>
      </c>
      <c r="X160" s="319">
        <f ca="1">IFERROR(IF(T160&gt;0,$H160,0)*T148,0)</f>
        <v>0</v>
      </c>
      <c r="Y160" s="319">
        <f ca="1">IFERROR(IF(LEFT($C160,1)="H",0,IF(U160&gt;0,$H160,IF($H160=0,0,VLOOKUP("H"&amp;Y149,$C150:$H161,6))))*U$104,0)</f>
        <v>0</v>
      </c>
      <c r="Z160" s="319">
        <f ca="1">IFERROR(IF(LEFT($C160,1)="H",0,IF(V160&gt;0,$H160,IF($H160=0,0,VLOOKUP("H"&amp;Z$105,$C150:$H161,6))))*V148,0)</f>
        <v>0</v>
      </c>
      <c r="AA160" s="404">
        <f t="shared" ca="1" si="67"/>
        <v>0</v>
      </c>
      <c r="AB160" s="299"/>
      <c r="AC160" s="19"/>
      <c r="AD160" s="19"/>
      <c r="AE160" s="286" t="str">
        <f>AdresseBezug(Tabellen!$O$5:$O$14)</f>
        <v>O5:O14</v>
      </c>
      <c r="AF160" s="286" t="e">
        <f>VLOOKUP(N160,Tabellen!$O$5:$R$57,3,FALSE)</f>
        <v>#N/A</v>
      </c>
      <c r="AG160" s="286" t="e">
        <f t="shared" ca="1" si="60"/>
        <v>#N/A</v>
      </c>
      <c r="AH160" s="288" t="b">
        <f t="shared" ca="1" si="61"/>
        <v>1</v>
      </c>
      <c r="AI160" s="288" t="b">
        <f t="shared" ca="1" si="62"/>
        <v>1</v>
      </c>
      <c r="AJ160" s="287">
        <f>IF(ISERROR(VLOOKUP(N160,Tabellen!$O$5:$R$58,4,FALSE)),1,VLOOKUP(N160,Tabellen!$O$5:$R$58,4,FALSE))</f>
        <v>1</v>
      </c>
      <c r="AK160" s="287">
        <f>IF(ISERROR(VLOOKUP(N160,Tabellen!$O$5:$S$58,5,FALSE)),1,VLOOKUP(N160,Tabellen!$O$5:$S$58,5,FALSE))</f>
        <v>1</v>
      </c>
    </row>
    <row r="161" spans="1:41" ht="15" hidden="1" thickTop="1" thickBot="1">
      <c r="A161" s="285">
        <v>12</v>
      </c>
      <c r="B161" s="544"/>
      <c r="C161" s="736"/>
      <c r="D161" s="545"/>
      <c r="E161" s="302" t="str">
        <f t="shared" si="59"/>
        <v/>
      </c>
      <c r="F161" s="302"/>
      <c r="G161" s="303"/>
      <c r="H161" s="534">
        <f ca="1">CHOOSE(AK161,0,
VLOOKUP(P161,OFFSET(INDIRECT("Tabellen!"&amp;AG161),0,0,,2),2,FALSE),
VLOOKUP(P161,OFFSET(INDIRECT("Tabellen!"&amp;AG161),0,0,,3),3,FALSE),
VLOOKUP(P161,OFFSET(INDIRECT("Tabellen!"&amp;AG161),0,0,,3),3,FALSE),
RechLuftschichtRuhend(B161,MATCH(Bauteile!O161,Tabellen!$W$5:$W$12,0)),
VLOOKUP(O161,OFFSET(INDIRECT("Tabellen!"&amp;AF161),0,0,,7),7,FALSE))</f>
        <v>0</v>
      </c>
      <c r="I161" s="316">
        <f t="shared" ca="1" si="63"/>
        <v>0</v>
      </c>
      <c r="J161" s="304" t="str">
        <f>IF(AND(C161="keilförmig",(C163+D163&gt;0)),"keilförmig nur homogen",
IF(AND(C160="",C161&lt;&gt;"",B161&lt;&gt;B162),"Dicke " &amp; C161 &amp; " &lt;&gt; Dicke "&amp; C162,
IF(AND(C160&lt;&gt;"",C161&lt;&gt;"",RIGHT(C160,1)&lt;&gt;RIGHT(C161,1),B161&lt;&gt;B162),"Dicke " &amp; C161 &amp; " &lt;&gt; Dicke "&amp; C162,
IF(COUNTIF(b01_x,"=a1")&gt;1,"a1 nur einmal",
IF(COUNTIF(b01_x,"=b1")&gt;1,"b1 nur einmal",
IF(COUNTIF(b01_x,"=a2")&gt;1,"a2 nur einmal",
IF(COUNTIF(b01_x,"=b2")&gt;1,"b2 nur einmal","")))))))</f>
        <v/>
      </c>
      <c r="M161" s="773" t="str">
        <f t="shared" si="68"/>
        <v/>
      </c>
      <c r="N161" s="552"/>
      <c r="O161" s="553"/>
      <c r="P161" s="554"/>
      <c r="R161" s="318"/>
      <c r="S161" s="1168" t="str">
        <f t="shared" si="64"/>
        <v/>
      </c>
      <c r="T161" s="404">
        <f t="shared" ca="1" si="65"/>
        <v>0</v>
      </c>
      <c r="U161" s="404">
        <f t="shared" ca="1" si="66"/>
        <v>0</v>
      </c>
      <c r="V161" s="404">
        <f t="shared" ca="1" si="66"/>
        <v>0</v>
      </c>
      <c r="X161" s="319">
        <f ca="1">IFERROR(IF(T161&gt;0,$H161,0)*T148,0)</f>
        <v>0</v>
      </c>
      <c r="Y161" s="319">
        <f ca="1">IFERROR(IF(LEFT($C161,1)="H",0,IF(U161&gt;0,$H161,IF($H161=0,0,VLOOKUP("H"&amp;Y149,$C150:$H161,6))))*U$104,0)</f>
        <v>0</v>
      </c>
      <c r="Z161" s="319">
        <f ca="1">IFERROR(IF(LEFT($C161,1)="H",0,IF(V161&gt;0,$H161,IF($H161=0,0,VLOOKUP("H"&amp;Z$105,$C150:$H161,6))))*V148,0)</f>
        <v>0</v>
      </c>
      <c r="AA161" s="404">
        <f t="shared" ca="1" si="67"/>
        <v>0</v>
      </c>
      <c r="AB161" s="299"/>
      <c r="AC161" s="19"/>
      <c r="AD161" s="19"/>
      <c r="AE161" s="286" t="str">
        <f>AdresseBezug(Tabellen!$O$5:$O$14)</f>
        <v>O5:O14</v>
      </c>
      <c r="AF161" s="286" t="e">
        <f>VLOOKUP(N161,Tabellen!$O$5:$R$57,3,FALSE)</f>
        <v>#N/A</v>
      </c>
      <c r="AG161" s="286" t="e">
        <f t="shared" ca="1" si="60"/>
        <v>#N/A</v>
      </c>
      <c r="AH161" s="288" t="b">
        <f t="shared" ca="1" si="61"/>
        <v>1</v>
      </c>
      <c r="AI161" s="288" t="b">
        <f t="shared" ca="1" si="62"/>
        <v>1</v>
      </c>
      <c r="AJ161" s="287">
        <f>IF(ISERROR(VLOOKUP(N161,Tabellen!$O$5:$R$58,4,FALSE)),1,VLOOKUP(N161,Tabellen!$O$5:$R$58,4,FALSE))</f>
        <v>1</v>
      </c>
      <c r="AK161" s="287">
        <f>IF(ISERROR(VLOOKUP(N161,Tabellen!$O$5:$S$58,5,FALSE)),1,VLOOKUP(N161,Tabellen!$O$5:$S$58,5,FALSE))</f>
        <v>1</v>
      </c>
    </row>
    <row r="162" spans="1:41" ht="14.4" hidden="1" thickTop="1">
      <c r="A162" s="281" t="s">
        <v>812</v>
      </c>
      <c r="B162" s="284"/>
      <c r="C162" s="409" t="s">
        <v>1944</v>
      </c>
      <c r="D162" s="409" t="s">
        <v>1945</v>
      </c>
      <c r="E162" s="301">
        <f>E149</f>
        <v>0</v>
      </c>
      <c r="F162" s="301"/>
      <c r="G162" s="301"/>
      <c r="H162" s="284"/>
      <c r="I162" s="154"/>
      <c r="J162" s="315">
        <f>IF(E162&gt;0,VLOOKUP(E162,Tabellen!$W$5:$Y$12,3,FALSE),0)</f>
        <v>0</v>
      </c>
      <c r="M162" s="57"/>
      <c r="Q162" s="57"/>
      <c r="R162" s="57"/>
      <c r="S162" s="295" t="s">
        <v>812</v>
      </c>
      <c r="T162" s="403">
        <f>IF(T148&gt;0,$J162,0)</f>
        <v>0</v>
      </c>
      <c r="U162" s="403">
        <f>IF(U148&gt;0,$J162,0)</f>
        <v>0</v>
      </c>
      <c r="V162" s="403">
        <f>IF(V148&gt;0,$J162,0)</f>
        <v>0</v>
      </c>
      <c r="X162" s="320"/>
      <c r="Y162" s="320"/>
      <c r="Z162" s="320"/>
      <c r="AA162" s="403">
        <f>J162</f>
        <v>0</v>
      </c>
      <c r="AB162" s="299"/>
      <c r="AC162" s="19"/>
      <c r="AD162" s="19"/>
      <c r="AE162" s="713" t="s">
        <v>2459</v>
      </c>
      <c r="AF162" s="713"/>
      <c r="AG162" s="713"/>
      <c r="AH162" s="713" t="s">
        <v>1942</v>
      </c>
      <c r="AI162" s="713"/>
      <c r="AJ162" s="713"/>
      <c r="AL162" s="713" t="s">
        <v>2460</v>
      </c>
      <c r="AM162" s="714"/>
    </row>
    <row r="163" spans="1:41" ht="15" hidden="1">
      <c r="A163" s="364" t="s">
        <v>342</v>
      </c>
      <c r="B163" s="317">
        <f>SUMIF(C150:C161,"",B150:B161)+SUMIF(C150:C161,"G1",B150:B161)+SUMIF(C150:C161,"G2",B150:B161)</f>
        <v>0</v>
      </c>
      <c r="C163" s="317">
        <f>SUMIF(C150:C161,"G1",D150:D161)+SUMIF(C150:C161,"H1",D150:D161)</f>
        <v>0</v>
      </c>
      <c r="D163" s="317">
        <f>SUMIF(C150:C161,"G2",D150:D161)+SUMIF(C150:C161,"H2",D150:D161)</f>
        <v>0</v>
      </c>
      <c r="E163" s="532" t="s">
        <v>2514</v>
      </c>
      <c r="F163" s="533" t="str">
        <f>IF(AND(C163&gt;0,D163=0),"mit inhomogen Schichten (1 Ebene)",
IF(AND(C163&gt;0,D163&gt;0),"mit inhomogen Schichten (2 Ebenen, um 90° gedreht)",
IF(SUM(M150:M161)&gt;0,"mit keilförmiger Schicht","mit homogenen Schichten")))</f>
        <v>mit homogenen Schichten</v>
      </c>
      <c r="G163" s="283"/>
      <c r="H163" s="152"/>
      <c r="I163" s="152"/>
      <c r="J163" s="274"/>
      <c r="K163" s="46" t="str">
        <f>IF(OR(C163&gt;0,D163&gt;0),AK163,IF(SUM(M150:M161)&gt;0,AO163,""))</f>
        <v/>
      </c>
      <c r="L163" s="46"/>
      <c r="M163" s="46"/>
      <c r="N163" s="46"/>
      <c r="O163" s="46"/>
      <c r="P163" s="46"/>
      <c r="Q163" s="57"/>
      <c r="R163" s="57"/>
      <c r="S163" s="295" t="s">
        <v>3427</v>
      </c>
      <c r="T163" s="404">
        <f ca="1">SUM(T149:T162)</f>
        <v>0</v>
      </c>
      <c r="U163" s="404">
        <f ca="1">SUM(U149:U162)</f>
        <v>0</v>
      </c>
      <c r="V163" s="404">
        <f ca="1">SUM(V149:V162)</f>
        <v>0</v>
      </c>
      <c r="X163" s="320">
        <f ca="1">SUM(X150:X161)</f>
        <v>0</v>
      </c>
      <c r="Y163" s="320">
        <f ca="1">SUM(Y150:Y161)</f>
        <v>0</v>
      </c>
      <c r="Z163" s="320">
        <f ca="1">SUM(Z150:Z161)</f>
        <v>0</v>
      </c>
      <c r="AA163" s="405">
        <f ca="1">SUM(AA149:AA162)</f>
        <v>0</v>
      </c>
      <c r="AB163" s="297" t="s">
        <v>3417</v>
      </c>
      <c r="AC163" s="19"/>
      <c r="AD163" s="19"/>
      <c r="AK163" s="207" t="s">
        <v>3433</v>
      </c>
      <c r="AO163" s="207" t="s">
        <v>955</v>
      </c>
    </row>
    <row r="164" spans="1:41" ht="15" hidden="1">
      <c r="A164" s="275"/>
      <c r="B164" s="276" t="str">
        <f>IF(OR(C163&gt;0,D163&gt;0),AH164,IF(SUM(M150:M161)&gt;0,AL164,AE164))</f>
        <v>Wärmedurchgangswiderstand</v>
      </c>
      <c r="C164" s="276"/>
      <c r="G164" s="37"/>
      <c r="H164" s="521" t="str">
        <f>IF(OR(C163&gt;0,D163&gt;0),AI164,IF(SUM(M150:M161)&gt;0,AM164,AF164))</f>
        <v>R = Rsi + ∑ di / λi + Rse =</v>
      </c>
      <c r="I164" s="513">
        <f ca="1">IF(OR(C163&gt;0,D163&gt;0),AJ164,IF(SUM(M150:M161)&gt;0,AN164,AG164))</f>
        <v>0</v>
      </c>
      <c r="J164" s="277" t="s">
        <v>809</v>
      </c>
      <c r="K164" s="1226" t="str">
        <f>IF(OR(C163&gt;0,D163&gt;0),AK164,IF(SUM(M150:M161)&gt;0,AO164,""))</f>
        <v/>
      </c>
      <c r="L164" s="1227"/>
      <c r="M164" s="1227"/>
      <c r="N164" s="1227"/>
      <c r="O164" s="1227"/>
      <c r="P164" s="1227"/>
      <c r="Q164" s="57"/>
      <c r="R164" s="57"/>
      <c r="S164" s="1170" t="s">
        <v>3428</v>
      </c>
      <c r="T164" s="404">
        <f ca="1">IFERROR(T148/T163,0)</f>
        <v>0</v>
      </c>
      <c r="U164" s="404">
        <f t="shared" ref="U164:V164" ca="1" si="69">IFERROR(U148/U163,0)</f>
        <v>0</v>
      </c>
      <c r="V164" s="404">
        <f t="shared" ca="1" si="69"/>
        <v>0</v>
      </c>
      <c r="X164" s="321"/>
      <c r="Y164" s="321"/>
      <c r="Z164" s="321"/>
      <c r="AA164" s="322"/>
      <c r="AB164" s="299"/>
      <c r="AC164" s="19"/>
      <c r="AD164" s="19"/>
      <c r="AE164" s="711" t="s">
        <v>2461</v>
      </c>
      <c r="AF164" s="710" t="s">
        <v>2466</v>
      </c>
      <c r="AG164" s="715">
        <f ca="1">T163</f>
        <v>0</v>
      </c>
      <c r="AH164" s="711" t="s">
        <v>2468</v>
      </c>
      <c r="AI164" s="710" t="s">
        <v>3429</v>
      </c>
      <c r="AJ164" s="715">
        <f ca="1">IF(SUM(T164:V164)&gt;0,1/SUM(T164:V164),0)</f>
        <v>0</v>
      </c>
      <c r="AK164" s="207" t="s">
        <v>2464</v>
      </c>
      <c r="AL164" s="711" t="s">
        <v>2470</v>
      </c>
      <c r="AM164" s="710" t="s">
        <v>2485</v>
      </c>
      <c r="AN164" s="715" t="str">
        <f>IF(SUM(M150:M161)&gt;0,SUM(M150:M161),"")</f>
        <v/>
      </c>
      <c r="AO164" s="207" t="s">
        <v>2416</v>
      </c>
    </row>
    <row r="165" spans="1:41" ht="15" hidden="1">
      <c r="A165" s="275"/>
      <c r="B165" s="276" t="str">
        <f>IF(OR(C163&gt;0,D163&gt;0),AH165,IF(SUM(M150:M161)&gt;0,AL165,AE165))</f>
        <v xml:space="preserve"> </v>
      </c>
      <c r="G165" s="276"/>
      <c r="H165" s="521" t="str">
        <f>IF(OR(C163&gt;0,D163&gt;0),AI165,IF(SUM(M150:M161)&gt;0,AM165,AF165))</f>
        <v xml:space="preserve"> </v>
      </c>
      <c r="I165" s="513" t="str">
        <f>IF(OR(C163&gt;0,D163&gt;0),AJ165,IF(SUM(M150:M161)&gt;0,AN165,AG165))</f>
        <v xml:space="preserve"> </v>
      </c>
      <c r="J165" s="277" t="s">
        <v>809</v>
      </c>
      <c r="K165" s="1226"/>
      <c r="L165" s="1227"/>
      <c r="M165" s="1227"/>
      <c r="N165" s="1227"/>
      <c r="O165" s="1227"/>
      <c r="P165" s="1227"/>
      <c r="Q165" s="57"/>
      <c r="R165" s="57"/>
      <c r="S165" s="297" t="s">
        <v>3426</v>
      </c>
      <c r="T165" s="405"/>
      <c r="U165" s="405"/>
      <c r="V165" s="405">
        <f ca="1">IF(SUM(T164:V164)&gt;0,1/SUM(T164:V164),0)</f>
        <v>0</v>
      </c>
      <c r="AC165" s="19"/>
      <c r="AD165" s="19"/>
      <c r="AE165" s="711" t="s">
        <v>955</v>
      </c>
      <c r="AF165" s="710" t="s">
        <v>955</v>
      </c>
      <c r="AG165" s="715" t="s">
        <v>955</v>
      </c>
      <c r="AH165" s="711" t="s">
        <v>2465</v>
      </c>
      <c r="AI165" s="710" t="s">
        <v>3430</v>
      </c>
      <c r="AJ165" s="715">
        <f ca="1">AA163</f>
        <v>0</v>
      </c>
      <c r="AK165" s="207" t="s">
        <v>955</v>
      </c>
      <c r="AL165" s="711" t="s">
        <v>2469</v>
      </c>
      <c r="AM165" s="710" t="s">
        <v>2467</v>
      </c>
      <c r="AN165" s="715" t="str">
        <f>IF(SUM(M150:M161)&gt;0,SUM(I149:J162),"")</f>
        <v/>
      </c>
      <c r="AO165" s="207" t="s">
        <v>955</v>
      </c>
    </row>
    <row r="166" spans="1:41" ht="15" hidden="1">
      <c r="A166" s="280"/>
      <c r="B166" s="281" t="str">
        <f>IF(OR(C163&gt;0,D163&gt;0),AH166,IF(SUM(M150:M161)&gt;0,AL166,AE166))</f>
        <v>Wärmedurchgangskoeffizient</v>
      </c>
      <c r="C166" s="154"/>
      <c r="D166" s="154"/>
      <c r="E166" s="154"/>
      <c r="F166" s="154"/>
      <c r="G166" s="154"/>
      <c r="H166" s="522" t="str">
        <f>IF(OR(C163&gt;0,D163&gt;0),AI166,IF(SUM(M150:M161)&gt;0,AM166,AF166))</f>
        <v>U = 1 / R =</v>
      </c>
      <c r="I166" s="514" t="str">
        <f ca="1">IF(OR(C163&gt;0,D163&gt;0),AJ166,IF(SUM(M150:M161)&gt;0,AN166,AG166))</f>
        <v/>
      </c>
      <c r="J166" s="282" t="s">
        <v>815</v>
      </c>
      <c r="K166" s="46" t="str">
        <f>IF(OR(C163&gt;0,D163&gt;0),AK166,IF(SUM(M150:M161)&gt;0,AO166,""))</f>
        <v/>
      </c>
      <c r="L166" s="46"/>
      <c r="M166" s="46"/>
      <c r="N166" s="46"/>
      <c r="O166" s="46"/>
      <c r="P166" s="46"/>
      <c r="Q166" s="57"/>
      <c r="R166" s="57"/>
      <c r="T166" s="292"/>
      <c r="U166" s="57"/>
      <c r="V166" s="57"/>
      <c r="W166" s="57"/>
      <c r="X166" s="292"/>
      <c r="Y166" s="292"/>
      <c r="Z166" s="292"/>
      <c r="AC166" s="19"/>
      <c r="AD166" s="19"/>
      <c r="AE166" s="711" t="s">
        <v>813</v>
      </c>
      <c r="AF166" s="710" t="s">
        <v>2463</v>
      </c>
      <c r="AG166" s="715" t="str">
        <f ca="1">IF(AG164&gt;0,1/AG164,"")</f>
        <v/>
      </c>
      <c r="AH166" s="711" t="s">
        <v>813</v>
      </c>
      <c r="AI166" s="710" t="s">
        <v>3431</v>
      </c>
      <c r="AJ166" s="715">
        <f ca="1">IF((AJ164+AJ165)&gt;0,2/(AJ164+AJ165),0)</f>
        <v>0</v>
      </c>
      <c r="AK166" s="207" t="str">
        <f>"Hier: Rtot;upper / Rtot;lower = "&amp; IF(AND(I165&gt;0,(C163+D163)&gt;0),TEXT(I164/I165,"0,00")&amp;IF(I164/I165&lt;=1.5," &lt;= 1,5, d.h. zulässig"," &gt; 1,5, d.h. nicht zulässig"),"nicht relevant")</f>
        <v>Hier: Rtot;upper / Rtot;lower = nicht relevant</v>
      </c>
      <c r="AL166" s="711" t="s">
        <v>2462</v>
      </c>
      <c r="AM166" s="710" t="s">
        <v>2486</v>
      </c>
      <c r="AN166" s="715" t="str">
        <f>IF(SUM(M150:M161)&gt;0,IF(AN164*AN165&gt;0,1/AN164*LN(1+AN164/AN165),""),"")</f>
        <v/>
      </c>
      <c r="AO166" s="207" t="s">
        <v>2417</v>
      </c>
    </row>
    <row r="167" spans="1:41" s="18" customFormat="1" ht="13.8">
      <c r="A167" s="33"/>
      <c r="B167" s="33"/>
      <c r="C167" s="33"/>
      <c r="D167" s="33"/>
      <c r="E167" s="33"/>
      <c r="F167" s="33"/>
      <c r="G167" s="33"/>
      <c r="H167" s="33"/>
      <c r="I167" s="33"/>
      <c r="J167" s="33"/>
      <c r="K167" s="33"/>
      <c r="L167" s="33"/>
      <c r="M167" s="33"/>
      <c r="Q167" s="33"/>
      <c r="R167" s="33"/>
      <c r="AC167" s="19"/>
      <c r="AD167" s="19"/>
      <c r="AE167" s="187"/>
      <c r="AF167" s="187"/>
      <c r="AG167" s="187"/>
      <c r="AH167" s="187"/>
      <c r="AI167" s="187"/>
      <c r="AJ167" s="187"/>
      <c r="AK167" s="187"/>
      <c r="AL167" s="149"/>
      <c r="AM167" s="187"/>
      <c r="AN167" s="187"/>
      <c r="AO167" s="187"/>
    </row>
    <row r="168" spans="1:41" ht="13.8">
      <c r="A168" s="419" t="s">
        <v>819</v>
      </c>
      <c r="B168" s="1214"/>
      <c r="C168" s="1215"/>
      <c r="D168" s="1215"/>
      <c r="E168" s="1215"/>
      <c r="F168" s="1216"/>
      <c r="G168" s="1216"/>
      <c r="H168" s="1216"/>
      <c r="I168" s="523" t="str">
        <f ca="1">I188</f>
        <v/>
      </c>
      <c r="J168" s="737">
        <v>0.5</v>
      </c>
      <c r="K168" s="33"/>
      <c r="L168" s="87">
        <f>ROW(A169)</f>
        <v>169</v>
      </c>
      <c r="M168" s="87">
        <f>ROW(A188)</f>
        <v>188</v>
      </c>
      <c r="N168" s="515">
        <f>(ROW(A168)-ROW($A$36))/(ROW($A$58)-ROW($A$36))+1</f>
        <v>7</v>
      </c>
      <c r="O168" s="216"/>
      <c r="P168" s="216"/>
      <c r="Q168" s="87"/>
      <c r="R168" s="87"/>
      <c r="S168" s="297" t="s">
        <v>3414</v>
      </c>
      <c r="T168" s="294"/>
      <c r="U168" s="293"/>
      <c r="V168" s="293"/>
      <c r="X168" s="297" t="s">
        <v>3415</v>
      </c>
      <c r="Y168" s="297"/>
      <c r="Z168" s="297"/>
      <c r="AA168" s="294"/>
      <c r="AB168" s="298"/>
      <c r="AC168" s="19"/>
      <c r="AD168" s="19"/>
    </row>
    <row r="169" spans="1:41" ht="22.8" hidden="1">
      <c r="A169" s="310" t="s">
        <v>1125</v>
      </c>
      <c r="B169" s="365" t="s">
        <v>1115</v>
      </c>
      <c r="C169" s="1221" t="s">
        <v>3425</v>
      </c>
      <c r="D169" s="1222"/>
      <c r="E169" s="306" t="s">
        <v>1116</v>
      </c>
      <c r="F169" s="305"/>
      <c r="G169" s="305"/>
      <c r="H169" s="306" t="s">
        <v>1120</v>
      </c>
      <c r="I169" s="306" t="s">
        <v>1679</v>
      </c>
      <c r="J169" s="591" t="s">
        <v>1113</v>
      </c>
      <c r="K169" s="33"/>
      <c r="M169" s="57"/>
      <c r="N169" s="387"/>
      <c r="Q169" s="57"/>
      <c r="R169" s="57"/>
      <c r="S169" s="295" t="s">
        <v>3416</v>
      </c>
      <c r="T169" s="1167">
        <v>0</v>
      </c>
      <c r="U169" s="296">
        <v>1</v>
      </c>
      <c r="V169" s="296">
        <v>2</v>
      </c>
      <c r="X169" s="1169" t="s">
        <v>3413</v>
      </c>
      <c r="Y169" s="296"/>
      <c r="Z169" s="296"/>
      <c r="AA169" s="296" t="s">
        <v>3418</v>
      </c>
      <c r="AB169" s="298"/>
      <c r="AC169" s="19"/>
      <c r="AD169" s="19"/>
      <c r="AE169" s="272" t="s">
        <v>824</v>
      </c>
      <c r="AF169" s="197"/>
      <c r="AG169" s="197"/>
      <c r="AH169" s="195" t="s">
        <v>842</v>
      </c>
      <c r="AI169" s="199"/>
      <c r="AJ169" s="289" t="s">
        <v>1671</v>
      </c>
      <c r="AK169" s="289"/>
    </row>
    <row r="170" spans="1:41" ht="13.8" hidden="1">
      <c r="A170" s="312"/>
      <c r="B170" s="306" t="s">
        <v>807</v>
      </c>
      <c r="C170" s="306" t="s">
        <v>3424</v>
      </c>
      <c r="D170" s="306" t="s">
        <v>807</v>
      </c>
      <c r="E170" s="311" t="s">
        <v>806</v>
      </c>
      <c r="F170" s="770"/>
      <c r="G170" s="771"/>
      <c r="H170" s="306" t="s">
        <v>808</v>
      </c>
      <c r="I170" s="306" t="s">
        <v>1122</v>
      </c>
      <c r="J170" s="591" t="s">
        <v>809</v>
      </c>
      <c r="N170" s="387"/>
      <c r="S170" s="295" t="s">
        <v>1114</v>
      </c>
      <c r="T170" s="405">
        <f>1-U170-V170</f>
        <v>1</v>
      </c>
      <c r="U170" s="405">
        <f>IF(C185=0,0,SUMIF($C172:$C183,"H"&amp;U169,$D172:$D183)/C185)</f>
        <v>0</v>
      </c>
      <c r="V170" s="405">
        <f>IF(D185=0,0,SUMIF($C172:$C183,"H"&amp;V169,$D172:$D183)/D185)</f>
        <v>0</v>
      </c>
      <c r="X170" s="407" t="s">
        <v>3423</v>
      </c>
      <c r="Y170" s="407" t="s">
        <v>1910</v>
      </c>
      <c r="Z170" s="407"/>
      <c r="AA170" s="406" t="s">
        <v>3432</v>
      </c>
      <c r="AB170" s="299"/>
      <c r="AC170" s="19"/>
      <c r="AD170" s="19"/>
      <c r="AE170" s="197"/>
      <c r="AF170" s="197"/>
      <c r="AG170" s="197"/>
      <c r="AH170" s="199"/>
      <c r="AI170" s="199"/>
      <c r="AJ170" s="289" t="s">
        <v>1672</v>
      </c>
      <c r="AK170" s="289"/>
    </row>
    <row r="171" spans="1:41" ht="13.8" hidden="1">
      <c r="A171" s="279" t="s">
        <v>810</v>
      </c>
      <c r="B171" s="276"/>
      <c r="C171" s="276"/>
      <c r="D171" s="276"/>
      <c r="E171" s="1217"/>
      <c r="F171" s="1218"/>
      <c r="G171" s="1218"/>
      <c r="H171" s="276"/>
      <c r="I171" s="278"/>
      <c r="J171" s="315">
        <f>IF(E171&gt;0,VLOOKUP(E171,Tabellen!$W$5:$Y$12,2,FALSE),0)</f>
        <v>0</v>
      </c>
      <c r="N171" s="418" t="s">
        <v>821</v>
      </c>
      <c r="O171" s="418" t="s">
        <v>818</v>
      </c>
      <c r="P171" s="418" t="s">
        <v>820</v>
      </c>
      <c r="S171" s="295" t="s">
        <v>810</v>
      </c>
      <c r="T171" s="403">
        <f>IF(T170&gt;0,$J171,0)</f>
        <v>0</v>
      </c>
      <c r="U171" s="403">
        <f>IF(U170&gt;0,$J171,0)</f>
        <v>0</v>
      </c>
      <c r="V171" s="403">
        <f>IF(V170&gt;0,$J171,0)</f>
        <v>0</v>
      </c>
      <c r="X171" s="1169">
        <v>0</v>
      </c>
      <c r="Y171" s="1169">
        <v>1</v>
      </c>
      <c r="Z171" s="1169">
        <v>2</v>
      </c>
      <c r="AA171" s="403">
        <f>J171</f>
        <v>0</v>
      </c>
      <c r="AB171" s="299"/>
      <c r="AC171" s="19"/>
      <c r="AD171" s="19"/>
      <c r="AE171" s="197" t="s">
        <v>821</v>
      </c>
      <c r="AF171" s="197" t="s">
        <v>818</v>
      </c>
      <c r="AG171" s="197" t="s">
        <v>820</v>
      </c>
      <c r="AH171" s="199" t="s">
        <v>1678</v>
      </c>
      <c r="AI171" s="199" t="s">
        <v>818</v>
      </c>
    </row>
    <row r="172" spans="1:41" ht="14.4" hidden="1" thickBot="1">
      <c r="A172" s="285">
        <v>1</v>
      </c>
      <c r="B172" s="540"/>
      <c r="C172" s="736"/>
      <c r="D172" s="541"/>
      <c r="E172" s="1219" t="str">
        <f t="shared" ref="E172:E183" si="70">IF(AJ172&gt;1,N172&amp;": "&amp;INDEX(N172:P172,AJ172),"")</f>
        <v/>
      </c>
      <c r="F172" s="1219"/>
      <c r="G172" s="1220"/>
      <c r="H172" s="534">
        <f ca="1">CHOOSE(AK172,0,
VLOOKUP(P172,OFFSET(INDIRECT("Tabellen!"&amp;AG172),0,0,,2),2,FALSE),
VLOOKUP(P172,OFFSET(INDIRECT("Tabellen!"&amp;AG172),0,0,,3),3,FALSE),
VLOOKUP(P172,OFFSET(INDIRECT("Tabellen!"&amp;AG172),0,0,,3),3,FALSE),
RechLuftschichtRuhend(B172,MATCH(Bauteile!O172,Tabellen!$W$5:$W$12,0)),
VLOOKUP(O172,OFFSET(INDIRECT("Tabellen!"&amp;AF172),0,0,,7),7,FALSE))</f>
        <v>0</v>
      </c>
      <c r="I172" s="316">
        <f ca="1">IF(C172="keilförmig","siehe unten",IF(H172&gt;0,B172/1000/H172,0))</f>
        <v>0</v>
      </c>
      <c r="J172" s="304" t="str">
        <f>IF(AND(C172="keilförmig",(C185+D185&gt;0)),"keilförmig nur homogen",
IF(AND(C171="",C172&lt;&gt;"",B172&lt;&gt;B173),"Dicke " &amp; C172 &amp; " &lt;&gt; Dicke "&amp; C173,
IF(AND(C171&lt;&gt;"",C172&lt;&gt;"",RIGHT(C171,1)&lt;&gt;RIGHT(C172,1),B172&lt;&gt;B173),"Dicke " &amp; C172 &amp; " &lt;&gt; Dicke "&amp; C173,
IF(COUNTIF(b01_x,"=a1")&gt;1,"a1 nur einmal",
IF(COUNTIF(b01_x,"=b1")&gt;1,"b1 nur einmal",
IF(COUNTIF(b01_x,"=a2")&gt;1,"a2 nur einmal",
IF(COUNTIF(b01_x,"=b2")&gt;1,"b2 nur einmal","")))))))</f>
        <v/>
      </c>
      <c r="M172" s="490" t="str">
        <f>IF(C172="keilförmig",IF(H172&gt;0,B172/1000/H172,0),"")</f>
        <v/>
      </c>
      <c r="N172" s="546"/>
      <c r="O172" s="547"/>
      <c r="P172" s="548"/>
      <c r="S172" s="1168" t="str">
        <f>IF(AND(C172&lt;&gt;"keilförmig",C172&lt;&gt;""),VALUE(RIGHT(C172,1)),"")</f>
        <v/>
      </c>
      <c r="T172" s="404">
        <f ca="1">IFERROR(IF($H172=0,0,IF(OR($C172=0,LEFT($C172,1)="G"),$B172/1000/$H172,0)),0)</f>
        <v>0</v>
      </c>
      <c r="U172" s="404">
        <f ca="1">IFERROR(IF($H172=0,0,IF($C172="H"&amp;U$103,$B172/1000/$H172,IF($C172="G"&amp;U$103,0,$T172))),0)</f>
        <v>0</v>
      </c>
      <c r="V172" s="404">
        <f ca="1">IFERROR(IF($H172=0,0,IF($C172="H"&amp;V$103,$B172/1000/$H172,IF($C172="G"&amp;V$103,0,$T172))),0)</f>
        <v>0</v>
      </c>
      <c r="X172" s="319">
        <f ca="1">IFERROR(IF(T172&gt;0,$H172,0)*T170,0)</f>
        <v>0</v>
      </c>
      <c r="Y172" s="319">
        <f ca="1">IFERROR(IF(LEFT($C172,1)="H",0,IF(U172&gt;0,$H172,IF($H172=0,0,VLOOKUP("H"&amp;Y171,$C172:$H183,6))))*U$104,0)</f>
        <v>0</v>
      </c>
      <c r="Z172" s="319">
        <f ca="1">IFERROR(IF(LEFT($C172,1)="H",0,IF(V172&gt;0,$H172,IF($H172=0,0,VLOOKUP("H"&amp;Z$105,$C172:$H183,6))))*V170,0)</f>
        <v>0</v>
      </c>
      <c r="AA172" s="404">
        <f ca="1">IFERROR($B172/1000/SUM(X172:Z172),0)</f>
        <v>0</v>
      </c>
      <c r="AB172" s="299"/>
      <c r="AC172" s="19"/>
      <c r="AD172" s="19"/>
      <c r="AE172" s="286" t="str">
        <f>AdresseBezug(Tabellen!$O$5:$O$14)</f>
        <v>O5:O14</v>
      </c>
      <c r="AF172" s="286" t="e">
        <f>VLOOKUP(N172,Tabellen!$O$5:$R$57,3,FALSE)</f>
        <v>#N/A</v>
      </c>
      <c r="AG172" s="286" t="e">
        <f t="shared" ref="AG172:AG183" ca="1" si="71">VLOOKUP(O172,OFFSET(INDIRECT("Tabellen!"&amp;AF172),0,0,,2),2,FALSE)</f>
        <v>#N/A</v>
      </c>
      <c r="AH172" s="288" t="b">
        <f t="shared" ref="AH172:AH183" ca="1" si="72">ISERROR(VLOOKUP(O172,INDIRECT("Tabellen!"&amp;AF172),1,FALSE))</f>
        <v>1</v>
      </c>
      <c r="AI172" s="288" t="b">
        <f t="shared" ref="AI172:AI183" ca="1" si="73">ISERROR(VLOOKUP(P172,INDIRECT("Tabellen!"&amp;AG172),1,FALSE))</f>
        <v>1</v>
      </c>
      <c r="AJ172" s="287">
        <f>IF(ISERROR(VLOOKUP(N172,Tabellen!$O$5:$R$58,4,FALSE)),1,VLOOKUP(N172,Tabellen!$O$5:$R$58,4,FALSE))</f>
        <v>1</v>
      </c>
      <c r="AK172" s="287">
        <f>IF(ISERROR(VLOOKUP(N172,Tabellen!$O$5:$S$58,5,FALSE)),1,VLOOKUP(N172,Tabellen!$O$5:$S$58,5,FALSE))</f>
        <v>1</v>
      </c>
    </row>
    <row r="173" spans="1:41" ht="15" hidden="1" thickTop="1" thickBot="1">
      <c r="A173" s="285">
        <v>2</v>
      </c>
      <c r="B173" s="542"/>
      <c r="C173" s="736"/>
      <c r="D173" s="543"/>
      <c r="E173" s="1219" t="str">
        <f t="shared" si="70"/>
        <v/>
      </c>
      <c r="F173" s="1219"/>
      <c r="G173" s="1220"/>
      <c r="H173" s="534">
        <f ca="1">CHOOSE(AK173,0,
VLOOKUP(P173,OFFSET(INDIRECT("Tabellen!"&amp;AG173),0,0,,2),2,FALSE),
VLOOKUP(P173,OFFSET(INDIRECT("Tabellen!"&amp;AG173),0,0,,3),3,FALSE),
VLOOKUP(P173,OFFSET(INDIRECT("Tabellen!"&amp;AG173),0,0,,3),3,FALSE),
RechLuftschichtRuhend(B173,MATCH(Bauteile!O173,Tabellen!$W$5:$W$12,0)),
VLOOKUP(O173,OFFSET(INDIRECT("Tabellen!"&amp;AF173),0,0,,7),7,FALSE))</f>
        <v>0</v>
      </c>
      <c r="I173" s="316">
        <f t="shared" ref="I173:I183" ca="1" si="74">IF(C173="keilförmig","siehe unten",IF(H173&gt;0,B173/1000/H173,0))</f>
        <v>0</v>
      </c>
      <c r="J173" s="304" t="str">
        <f>IF(AND(C173="keilförmig",(C185+D185&gt;0)),"keilförmig nur homogen",
IF(AND(C172="",C173&lt;&gt;"",B173&lt;&gt;B174),"Dicke " &amp; C173 &amp; " &lt;&gt; Dicke "&amp; C174,
IF(AND(C172&lt;&gt;"",C173&lt;&gt;"",RIGHT(C172,1)&lt;&gt;RIGHT(C173,1),B173&lt;&gt;B174),"Dicke " &amp; C173 &amp; " &lt;&gt; Dicke "&amp; C174,
IF(COUNTIF(b01_x,"=a1")&gt;1,"a1 nur einmal",
IF(COUNTIF(b01_x,"=b1")&gt;1,"b1 nur einmal",
IF(COUNTIF(b01_x,"=a2")&gt;1,"a2 nur einmal",
IF(COUNTIF(b01_x,"=b2")&gt;1,"b2 nur einmal","")))))))</f>
        <v/>
      </c>
      <c r="M173" s="490" t="str">
        <f t="shared" ref="M173:M183" si="75">IF(C173="keilförmig",IF(H173&gt;0,B173/1000/H173,0),"")</f>
        <v/>
      </c>
      <c r="N173" s="549"/>
      <c r="O173" s="550"/>
      <c r="P173" s="551"/>
      <c r="S173" s="1168" t="str">
        <f t="shared" ref="S173:S183" si="76">IF(AND(C173&lt;&gt;"keilförmig",C173&lt;&gt;""),VALUE(RIGHT(C173,1)),"")</f>
        <v/>
      </c>
      <c r="T173" s="404">
        <f t="shared" ref="T173:T183" ca="1" si="77">IFERROR(IF($H173=0,0,IF(OR($C173=0,LEFT($C173,1)="G"),$B173/1000/$H173,0)),0)</f>
        <v>0</v>
      </c>
      <c r="U173" s="404">
        <f t="shared" ref="U173:V183" ca="1" si="78">IFERROR(IF($H173=0,0,IF($C173="H"&amp;U$103,$B173/1000/$H173,IF($C173="G"&amp;U$103,0,$T173))),0)</f>
        <v>0</v>
      </c>
      <c r="V173" s="404">
        <f t="shared" ca="1" si="78"/>
        <v>0</v>
      </c>
      <c r="X173" s="319">
        <f ca="1">IFERROR(IF(T173&gt;0,$H173,0)*T170,0)</f>
        <v>0</v>
      </c>
      <c r="Y173" s="319">
        <f ca="1">IFERROR(IF(LEFT($C173,1)="H",0,IF(U173&gt;0,$H173,IF($H173=0,0,VLOOKUP("H"&amp;Y171,$C172:$H183,6))))*U$104,0)</f>
        <v>0</v>
      </c>
      <c r="Z173" s="319">
        <f ca="1">IFERROR(IF(LEFT($C173,1)="H",0,IF(V173&gt;0,$H173,IF($H173=0,0,VLOOKUP("H"&amp;Z$105,$C172:$H183,6))))*V170,0)</f>
        <v>0</v>
      </c>
      <c r="AA173" s="404">
        <f t="shared" ref="AA173:AA183" ca="1" si="79">IFERROR($B173/1000/SUM(X173:Z173),0)</f>
        <v>0</v>
      </c>
      <c r="AB173" s="299"/>
      <c r="AC173" s="19"/>
      <c r="AD173" s="19"/>
      <c r="AE173" s="286" t="str">
        <f>AdresseBezug(Tabellen!$O$5:$O$14)</f>
        <v>O5:O14</v>
      </c>
      <c r="AF173" s="286" t="e">
        <f>VLOOKUP(N173,Tabellen!$O$5:$R$57,3,FALSE)</f>
        <v>#N/A</v>
      </c>
      <c r="AG173" s="286" t="e">
        <f t="shared" ca="1" si="71"/>
        <v>#N/A</v>
      </c>
      <c r="AH173" s="288" t="b">
        <f t="shared" ca="1" si="72"/>
        <v>1</v>
      </c>
      <c r="AI173" s="288" t="b">
        <f t="shared" ca="1" si="73"/>
        <v>1</v>
      </c>
      <c r="AJ173" s="287">
        <f>IF(ISERROR(VLOOKUP(N173,Tabellen!$O$5:$R$58,4,FALSE)),1,VLOOKUP(N173,Tabellen!$O$5:$R$58,4,FALSE))</f>
        <v>1</v>
      </c>
      <c r="AK173" s="287">
        <f>IF(ISERROR(VLOOKUP(N173,Tabellen!$O$5:$S$58,5,FALSE)),1,VLOOKUP(N173,Tabellen!$O$5:$S$58,5,FALSE))</f>
        <v>1</v>
      </c>
    </row>
    <row r="174" spans="1:41" ht="15" hidden="1" thickTop="1" thickBot="1">
      <c r="A174" s="285">
        <v>3</v>
      </c>
      <c r="B174" s="542"/>
      <c r="C174" s="736"/>
      <c r="D174" s="543"/>
      <c r="E174" s="1219" t="str">
        <f t="shared" si="70"/>
        <v/>
      </c>
      <c r="F174" s="1219"/>
      <c r="G174" s="1220"/>
      <c r="H174" s="534">
        <f ca="1">CHOOSE(AK174,0,
VLOOKUP(P174,OFFSET(INDIRECT("Tabellen!"&amp;AG174),0,0,,2),2,FALSE),
VLOOKUP(P174,OFFSET(INDIRECT("Tabellen!"&amp;AG174),0,0,,3),3,FALSE),
VLOOKUP(P174,OFFSET(INDIRECT("Tabellen!"&amp;AG174),0,0,,3),3,FALSE),
RechLuftschichtRuhend(B174,MATCH(Bauteile!O174,Tabellen!$W$5:$W$12,0)),
VLOOKUP(O174,OFFSET(INDIRECT("Tabellen!"&amp;AF174),0,0,,7),7,FALSE))</f>
        <v>0</v>
      </c>
      <c r="I174" s="316">
        <f t="shared" ca="1" si="74"/>
        <v>0</v>
      </c>
      <c r="J174" s="304" t="str">
        <f>IF(AND(C174="keilförmig",(C185+D185&gt;0)),"keilförmig nur homogen",
IF(AND(C173="",C174&lt;&gt;"",B174&lt;&gt;B175),"Dicke " &amp; C174 &amp; " &lt;&gt; Dicke "&amp; C175,
IF(AND(C173&lt;&gt;"",C174&lt;&gt;"",RIGHT(C173,1)&lt;&gt;RIGHT(C174,1),B174&lt;&gt;B175),"Dicke " &amp; C174 &amp; " &lt;&gt; Dicke "&amp; C175,
IF(COUNTIF(b01_x,"=a1")&gt;1,"a1 nur einmal",
IF(COUNTIF(b01_x,"=b1")&gt;1,"b1 nur einmal",
IF(COUNTIF(b01_x,"=a2")&gt;1,"a2 nur einmal",
IF(COUNTIF(b01_x,"=b2")&gt;1,"b2 nur einmal","")))))))</f>
        <v/>
      </c>
      <c r="M174" s="490" t="str">
        <f t="shared" si="75"/>
        <v/>
      </c>
      <c r="N174" s="546"/>
      <c r="O174" s="547"/>
      <c r="P174" s="548"/>
      <c r="S174" s="1168" t="str">
        <f t="shared" si="76"/>
        <v/>
      </c>
      <c r="T174" s="404">
        <f t="shared" ca="1" si="77"/>
        <v>0</v>
      </c>
      <c r="U174" s="404">
        <f t="shared" ca="1" si="78"/>
        <v>0</v>
      </c>
      <c r="V174" s="404">
        <f t="shared" ca="1" si="78"/>
        <v>0</v>
      </c>
      <c r="X174" s="319">
        <f ca="1">IFERROR(IF(T174&gt;0,$H174,0)*T170,0)</f>
        <v>0</v>
      </c>
      <c r="Y174" s="319">
        <f ca="1">IFERROR(IF(LEFT($C174,1)="H",0,IF(U174&gt;0,$H174,IF($H174=0,0,VLOOKUP("H"&amp;Y171,$C172:$H183,6))))*U$104,0)</f>
        <v>0</v>
      </c>
      <c r="Z174" s="319">
        <f ca="1">IFERROR(IF(LEFT($C174,1)="H",0,IF(V174&gt;0,$H174,IF($H174=0,0,VLOOKUP("H"&amp;Z$105,$C172:$H183,6))))*V170,0)</f>
        <v>0</v>
      </c>
      <c r="AA174" s="404">
        <f t="shared" ca="1" si="79"/>
        <v>0</v>
      </c>
      <c r="AB174" s="300"/>
      <c r="AC174" s="19"/>
      <c r="AD174" s="19"/>
      <c r="AE174" s="286" t="str">
        <f>AdresseBezug(Tabellen!$O$5:$O$14)</f>
        <v>O5:O14</v>
      </c>
      <c r="AF174" s="286" t="e">
        <f>VLOOKUP(N174,Tabellen!$O$5:$R$57,3,FALSE)</f>
        <v>#N/A</v>
      </c>
      <c r="AG174" s="286" t="e">
        <f t="shared" ca="1" si="71"/>
        <v>#N/A</v>
      </c>
      <c r="AH174" s="288" t="b">
        <f t="shared" ca="1" si="72"/>
        <v>1</v>
      </c>
      <c r="AI174" s="288" t="b">
        <f t="shared" ca="1" si="73"/>
        <v>1</v>
      </c>
      <c r="AJ174" s="287">
        <f>IF(ISERROR(VLOOKUP(N174,Tabellen!$O$5:$R$58,4,FALSE)),1,VLOOKUP(N174,Tabellen!$O$5:$R$58,4,FALSE))</f>
        <v>1</v>
      </c>
      <c r="AK174" s="287">
        <f>IF(ISERROR(VLOOKUP(N174,Tabellen!$O$5:$S$58,5,FALSE)),1,VLOOKUP(N174,Tabellen!$O$5:$S$58,5,FALSE))</f>
        <v>1</v>
      </c>
    </row>
    <row r="175" spans="1:41" ht="15" hidden="1" thickTop="1" thickBot="1">
      <c r="A175" s="285">
        <v>4</v>
      </c>
      <c r="B175" s="542"/>
      <c r="C175" s="736"/>
      <c r="D175" s="543"/>
      <c r="E175" s="1219" t="str">
        <f t="shared" si="70"/>
        <v/>
      </c>
      <c r="F175" s="1219"/>
      <c r="G175" s="1220"/>
      <c r="H175" s="534">
        <f ca="1">CHOOSE(AK175,0,
VLOOKUP(P175,OFFSET(INDIRECT("Tabellen!"&amp;AG175),0,0,,2),2,FALSE),
VLOOKUP(P175,OFFSET(INDIRECT("Tabellen!"&amp;AG175),0,0,,3),3,FALSE),
VLOOKUP(P175,OFFSET(INDIRECT("Tabellen!"&amp;AG175),0,0,,3),3,FALSE),
RechLuftschichtRuhend(B175,MATCH(Bauteile!O175,Tabellen!$W$5:$W$12,0)),
VLOOKUP(O175,OFFSET(INDIRECT("Tabellen!"&amp;AF175),0,0,,7),7,FALSE))</f>
        <v>0</v>
      </c>
      <c r="I175" s="316">
        <f t="shared" ca="1" si="74"/>
        <v>0</v>
      </c>
      <c r="J175" s="304" t="str">
        <f>IF(AND(C175="keilförmig",(C185+D185&gt;0)),"keilförmig nur homogen",
IF(AND(C174="",C175&lt;&gt;"",B175&lt;&gt;B176),"Dicke " &amp; C175 &amp; " &lt;&gt; Dicke "&amp; C176,
IF(AND(C174&lt;&gt;"",C175&lt;&gt;"",RIGHT(C174,1)&lt;&gt;RIGHT(C175,1),B175&lt;&gt;B176),"Dicke " &amp; C175 &amp; " &lt;&gt; Dicke "&amp; C176,
IF(COUNTIF(b01_x,"=a1")&gt;1,"a1 nur einmal",
IF(COUNTIF(b01_x,"=b1")&gt;1,"b1 nur einmal",
IF(COUNTIF(b01_x,"=a2")&gt;1,"a2 nur einmal",
IF(COUNTIF(b01_x,"=b2")&gt;1,"b2 nur einmal","")))))))</f>
        <v/>
      </c>
      <c r="M175" s="490" t="str">
        <f t="shared" si="75"/>
        <v/>
      </c>
      <c r="N175" s="549"/>
      <c r="O175" s="550"/>
      <c r="P175" s="551"/>
      <c r="S175" s="1168" t="str">
        <f t="shared" si="76"/>
        <v/>
      </c>
      <c r="T175" s="404">
        <f t="shared" ca="1" si="77"/>
        <v>0</v>
      </c>
      <c r="U175" s="404">
        <f t="shared" ca="1" si="78"/>
        <v>0</v>
      </c>
      <c r="V175" s="404">
        <f t="shared" ca="1" si="78"/>
        <v>0</v>
      </c>
      <c r="X175" s="319">
        <f ca="1">IFERROR(IF(T175&gt;0,$H175,0)*T170,0)</f>
        <v>0</v>
      </c>
      <c r="Y175" s="319">
        <f ca="1">IFERROR(IF(LEFT($C175,1)="H",0,IF(U175&gt;0,$H175,IF($H175=0,0,VLOOKUP("H"&amp;Y171,$C172:$H183,6))))*U$104,0)</f>
        <v>0</v>
      </c>
      <c r="Z175" s="319">
        <f ca="1">IFERROR(IF(LEFT($C175,1)="H",0,IF(V175&gt;0,$H175,IF($H175=0,0,VLOOKUP("H"&amp;Z$105,$C172:$H183,6))))*V170,0)</f>
        <v>0</v>
      </c>
      <c r="AA175" s="404">
        <f t="shared" ca="1" si="79"/>
        <v>0</v>
      </c>
      <c r="AB175" s="300"/>
      <c r="AC175" s="19"/>
      <c r="AD175" s="19"/>
      <c r="AE175" s="286" t="str">
        <f>AdresseBezug(Tabellen!$O$5:$O$14)</f>
        <v>O5:O14</v>
      </c>
      <c r="AF175" s="286" t="e">
        <f>VLOOKUP(N175,Tabellen!$O$5:$R$57,3,FALSE)</f>
        <v>#N/A</v>
      </c>
      <c r="AG175" s="286" t="e">
        <f t="shared" ca="1" si="71"/>
        <v>#N/A</v>
      </c>
      <c r="AH175" s="288" t="b">
        <f t="shared" ca="1" si="72"/>
        <v>1</v>
      </c>
      <c r="AI175" s="288" t="b">
        <f t="shared" ca="1" si="73"/>
        <v>1</v>
      </c>
      <c r="AJ175" s="287">
        <f>IF(ISERROR(VLOOKUP(N175,Tabellen!$O$5:$R$58,4,FALSE)),1,VLOOKUP(N175,Tabellen!$O$5:$R$58,4,FALSE))</f>
        <v>1</v>
      </c>
      <c r="AK175" s="287">
        <f>IF(ISERROR(VLOOKUP(N175,Tabellen!$O$5:$S$58,5,FALSE)),1,VLOOKUP(N175,Tabellen!$O$5:$S$58,5,FALSE))</f>
        <v>1</v>
      </c>
    </row>
    <row r="176" spans="1:41" ht="15" hidden="1" thickTop="1" thickBot="1">
      <c r="A176" s="285">
        <v>5</v>
      </c>
      <c r="B176" s="542"/>
      <c r="C176" s="736"/>
      <c r="D176" s="543"/>
      <c r="E176" s="1219" t="str">
        <f t="shared" si="70"/>
        <v/>
      </c>
      <c r="F176" s="1219"/>
      <c r="G176" s="1220"/>
      <c r="H176" s="534">
        <f ca="1">CHOOSE(AK176,0,
VLOOKUP(P176,OFFSET(INDIRECT("Tabellen!"&amp;AG176),0,0,,2),2,FALSE),
VLOOKUP(P176,OFFSET(INDIRECT("Tabellen!"&amp;AG176),0,0,,3),3,FALSE),
VLOOKUP(P176,OFFSET(INDIRECT("Tabellen!"&amp;AG176),0,0,,3),3,FALSE),
RechLuftschichtRuhend(B176,MATCH(Bauteile!O176,Tabellen!$W$5:$W$12,0)),
VLOOKUP(O176,OFFSET(INDIRECT("Tabellen!"&amp;AF176),0,0,,7),7,FALSE))</f>
        <v>0</v>
      </c>
      <c r="I176" s="316">
        <f t="shared" ca="1" si="74"/>
        <v>0</v>
      </c>
      <c r="J176" s="304" t="str">
        <f>IF(AND(C176="keilförmig",(C185+D185&gt;0)),"keilförmig nur homogen",
IF(AND(C175="",C176&lt;&gt;"",B176&lt;&gt;B177),"Dicke " &amp; C176 &amp; " &lt;&gt; Dicke "&amp; C177,
IF(AND(C175&lt;&gt;"",C176&lt;&gt;"",RIGHT(C175,1)&lt;&gt;RIGHT(C176,1),B176&lt;&gt;B177),"Dicke " &amp; C176 &amp; " &lt;&gt; Dicke "&amp; C177,
IF(COUNTIF(b01_x,"=a1")&gt;1,"a1 nur einmal",
IF(COUNTIF(b01_x,"=b1")&gt;1,"b1 nur einmal",
IF(COUNTIF(b01_x,"=a2")&gt;1,"a2 nur einmal",
IF(COUNTIF(b01_x,"=b2")&gt;1,"b2 nur einmal","")))))))</f>
        <v/>
      </c>
      <c r="M176" s="490" t="str">
        <f t="shared" si="75"/>
        <v/>
      </c>
      <c r="N176" s="549"/>
      <c r="O176" s="550"/>
      <c r="P176" s="551"/>
      <c r="S176" s="1168" t="str">
        <f t="shared" si="76"/>
        <v/>
      </c>
      <c r="T176" s="404">
        <f t="shared" ca="1" si="77"/>
        <v>0</v>
      </c>
      <c r="U176" s="404">
        <f t="shared" ca="1" si="78"/>
        <v>0</v>
      </c>
      <c r="V176" s="404">
        <f t="shared" ca="1" si="78"/>
        <v>0</v>
      </c>
      <c r="X176" s="319">
        <f ca="1">IFERROR(IF(T176&gt;0,$H176,0)*T170,0)</f>
        <v>0</v>
      </c>
      <c r="Y176" s="319">
        <f ca="1">IFERROR(IF(LEFT($C176,1)="H",0,IF(U176&gt;0,$H176,IF($H176=0,0,VLOOKUP("H"&amp;Y171,$C172:$H183,6))))*U$104,0)</f>
        <v>0</v>
      </c>
      <c r="Z176" s="319">
        <f ca="1">IFERROR(IF(LEFT($C176,1)="H",0,IF(V176&gt;0,$H176,IF($H176=0,0,VLOOKUP("H"&amp;Z$105,$C172:$H183,6))))*V170,0)</f>
        <v>0</v>
      </c>
      <c r="AA176" s="404">
        <f t="shared" ca="1" si="79"/>
        <v>0</v>
      </c>
      <c r="AB176" s="299"/>
      <c r="AC176" s="19"/>
      <c r="AD176" s="19"/>
      <c r="AE176" s="286" t="str">
        <f>AdresseBezug(Tabellen!$O$5:$O$14)</f>
        <v>O5:O14</v>
      </c>
      <c r="AF176" s="286" t="e">
        <f>VLOOKUP(N176,Tabellen!$O$5:$R$57,3,FALSE)</f>
        <v>#N/A</v>
      </c>
      <c r="AG176" s="286" t="e">
        <f t="shared" ca="1" si="71"/>
        <v>#N/A</v>
      </c>
      <c r="AH176" s="288" t="b">
        <f t="shared" ca="1" si="72"/>
        <v>1</v>
      </c>
      <c r="AI176" s="288" t="b">
        <f t="shared" ca="1" si="73"/>
        <v>1</v>
      </c>
      <c r="AJ176" s="287">
        <f>IF(ISERROR(VLOOKUP(N176,Tabellen!$O$5:$R$58,4,FALSE)),1,VLOOKUP(N176,Tabellen!$O$5:$R$58,4,FALSE))</f>
        <v>1</v>
      </c>
      <c r="AK176" s="287">
        <f>IF(ISERROR(VLOOKUP(N176,Tabellen!$O$5:$S$58,5,FALSE)),1,VLOOKUP(N176,Tabellen!$O$5:$S$58,5,FALSE))</f>
        <v>1</v>
      </c>
    </row>
    <row r="177" spans="1:41" ht="15" hidden="1" thickTop="1" thickBot="1">
      <c r="A177" s="285">
        <v>6</v>
      </c>
      <c r="B177" s="542"/>
      <c r="C177" s="736"/>
      <c r="D177" s="543"/>
      <c r="E177" s="1219" t="str">
        <f t="shared" si="70"/>
        <v/>
      </c>
      <c r="F177" s="1219"/>
      <c r="G177" s="1220"/>
      <c r="H177" s="534">
        <f ca="1">CHOOSE(AK177,0,
VLOOKUP(P177,OFFSET(INDIRECT("Tabellen!"&amp;AG177),0,0,,2),2,FALSE),
VLOOKUP(P177,OFFSET(INDIRECT("Tabellen!"&amp;AG177),0,0,,3),3,FALSE),
VLOOKUP(P177,OFFSET(INDIRECT("Tabellen!"&amp;AG177),0,0,,3),3,FALSE),
RechLuftschichtRuhend(B177,MATCH(Bauteile!O177,Tabellen!$W$5:$W$12,0)),
VLOOKUP(O177,OFFSET(INDIRECT("Tabellen!"&amp;AF177),0,0,,7),7,FALSE))</f>
        <v>0</v>
      </c>
      <c r="I177" s="316">
        <f t="shared" ca="1" si="74"/>
        <v>0</v>
      </c>
      <c r="J177" s="304" t="str">
        <f>IF(AND(C177="keilförmig",(C185+D185&gt;0)),"keilförmig nur homogen",
IF(AND(C176="",C177&lt;&gt;"",B177&lt;&gt;B178),"Dicke " &amp; C177 &amp; " &lt;&gt; Dicke "&amp; C178,
IF(AND(C176&lt;&gt;"",C177&lt;&gt;"",RIGHT(C176,1)&lt;&gt;RIGHT(C177,1),B177&lt;&gt;B178),"Dicke " &amp; C177 &amp; " &lt;&gt; Dicke "&amp; C178,
IF(COUNTIF(b01_x,"=a1")&gt;1,"a1 nur einmal",
IF(COUNTIF(b01_x,"=b1")&gt;1,"b1 nur einmal",
IF(COUNTIF(b01_x,"=a2")&gt;1,"a2 nur einmal",
IF(COUNTIF(b01_x,"=b2")&gt;1,"b2 nur einmal","")))))))</f>
        <v/>
      </c>
      <c r="M177" s="490" t="str">
        <f t="shared" si="75"/>
        <v/>
      </c>
      <c r="N177" s="549"/>
      <c r="O177" s="550"/>
      <c r="P177" s="551"/>
      <c r="S177" s="1168" t="str">
        <f t="shared" si="76"/>
        <v/>
      </c>
      <c r="T177" s="404">
        <f t="shared" ca="1" si="77"/>
        <v>0</v>
      </c>
      <c r="U177" s="404">
        <f t="shared" ca="1" si="78"/>
        <v>0</v>
      </c>
      <c r="V177" s="404">
        <f t="shared" ca="1" si="78"/>
        <v>0</v>
      </c>
      <c r="X177" s="319">
        <f ca="1">IFERROR(IF(T177&gt;0,$H177,0)*T170,0)</f>
        <v>0</v>
      </c>
      <c r="Y177" s="319">
        <f ca="1">IFERROR(IF(LEFT($C177,1)="H",0,IF(U177&gt;0,$H177,IF($H177=0,0,VLOOKUP("H"&amp;Y171,$C172:$H183,6))))*U$104,0)</f>
        <v>0</v>
      </c>
      <c r="Z177" s="319">
        <f ca="1">IFERROR(IF(LEFT($C177,1)="H",0,IF(V177&gt;0,$H177,IF($H177=0,0,VLOOKUP("H"&amp;Z$105,$C172:$H183,6))))*V170,0)</f>
        <v>0</v>
      </c>
      <c r="AA177" s="404">
        <f t="shared" ca="1" si="79"/>
        <v>0</v>
      </c>
      <c r="AB177" s="299"/>
      <c r="AC177" s="19"/>
      <c r="AD177" s="19"/>
      <c r="AE177" s="286" t="str">
        <f>AdresseBezug(Tabellen!$O$5:$O$14)</f>
        <v>O5:O14</v>
      </c>
      <c r="AF177" s="286" t="e">
        <f>VLOOKUP(N177,Tabellen!$O$5:$R$57,3,FALSE)</f>
        <v>#N/A</v>
      </c>
      <c r="AG177" s="286" t="e">
        <f t="shared" ca="1" si="71"/>
        <v>#N/A</v>
      </c>
      <c r="AH177" s="288" t="b">
        <f t="shared" ca="1" si="72"/>
        <v>1</v>
      </c>
      <c r="AI177" s="288" t="b">
        <f t="shared" ca="1" si="73"/>
        <v>1</v>
      </c>
      <c r="AJ177" s="287">
        <f>IF(ISERROR(VLOOKUP(N177,Tabellen!$O$5:$R$58,4,FALSE)),1,VLOOKUP(N177,Tabellen!$O$5:$R$58,4,FALSE))</f>
        <v>1</v>
      </c>
      <c r="AK177" s="287">
        <f>IF(ISERROR(VLOOKUP(N177,Tabellen!$O$5:$S$58,5,FALSE)),1,VLOOKUP(N177,Tabellen!$O$5:$S$58,5,FALSE))</f>
        <v>1</v>
      </c>
    </row>
    <row r="178" spans="1:41" ht="15" hidden="1" thickTop="1" thickBot="1">
      <c r="A178" s="285">
        <v>7</v>
      </c>
      <c r="B178" s="542"/>
      <c r="C178" s="736"/>
      <c r="D178" s="543"/>
      <c r="E178" s="1219" t="str">
        <f t="shared" si="70"/>
        <v/>
      </c>
      <c r="F178" s="1219"/>
      <c r="G178" s="1220"/>
      <c r="H178" s="534">
        <f ca="1">CHOOSE(AK178,0,
VLOOKUP(P178,OFFSET(INDIRECT("Tabellen!"&amp;AG178),0,0,,2),2,FALSE),
VLOOKUP(P178,OFFSET(INDIRECT("Tabellen!"&amp;AG178),0,0,,3),3,FALSE),
VLOOKUP(P178,OFFSET(INDIRECT("Tabellen!"&amp;AG178),0,0,,3),3,FALSE),
RechLuftschichtRuhend(B178,MATCH(Bauteile!O178,Tabellen!$W$5:$W$12,0)),
VLOOKUP(O178,OFFSET(INDIRECT("Tabellen!"&amp;AF178),0,0,,7),7,FALSE))</f>
        <v>0</v>
      </c>
      <c r="I178" s="316">
        <f t="shared" ca="1" si="74"/>
        <v>0</v>
      </c>
      <c r="J178" s="304" t="str">
        <f>IF(AND(C178="keilförmig",(C185+D185&gt;0)),"keilförmig nur homogen",
IF(AND(C177="",C178&lt;&gt;"",B178&lt;&gt;B179),"Dicke " &amp; C178 &amp; " &lt;&gt; Dicke "&amp; C179,
IF(AND(C177&lt;&gt;"",C178&lt;&gt;"",RIGHT(C177,1)&lt;&gt;RIGHT(C178,1),B178&lt;&gt;B179),"Dicke " &amp; C178 &amp; " &lt;&gt; Dicke "&amp; C179,
IF(COUNTIF(b01_x,"=a1")&gt;1,"a1 nur einmal",
IF(COUNTIF(b01_x,"=b1")&gt;1,"b1 nur einmal",
IF(COUNTIF(b01_x,"=a2")&gt;1,"a2 nur einmal",
IF(COUNTIF(b01_x,"=b2")&gt;1,"b2 nur einmal","")))))))</f>
        <v/>
      </c>
      <c r="M178" s="490" t="str">
        <f t="shared" si="75"/>
        <v/>
      </c>
      <c r="N178" s="546"/>
      <c r="O178" s="550"/>
      <c r="P178" s="551"/>
      <c r="S178" s="1168" t="str">
        <f t="shared" si="76"/>
        <v/>
      </c>
      <c r="T178" s="404">
        <f t="shared" ca="1" si="77"/>
        <v>0</v>
      </c>
      <c r="U178" s="404">
        <f t="shared" ca="1" si="78"/>
        <v>0</v>
      </c>
      <c r="V178" s="404">
        <f t="shared" ca="1" si="78"/>
        <v>0</v>
      </c>
      <c r="X178" s="319">
        <f ca="1">IFERROR(IF(T178&gt;0,$H178,0)*T170,0)</f>
        <v>0</v>
      </c>
      <c r="Y178" s="319">
        <f ca="1">IFERROR(IF(LEFT($C178,1)="H",0,IF(U178&gt;0,$H178,IF($H178=0,0,VLOOKUP("H"&amp;Y171,$C172:$H183,6))))*U$104,0)</f>
        <v>0</v>
      </c>
      <c r="Z178" s="319">
        <f ca="1">IFERROR(IF(LEFT($C178,1)="H",0,IF(V178&gt;0,$H178,IF($H178=0,0,VLOOKUP("H"&amp;Z$105,$C172:$H183,6))))*V170,0)</f>
        <v>0</v>
      </c>
      <c r="AA178" s="404">
        <f t="shared" ca="1" si="79"/>
        <v>0</v>
      </c>
      <c r="AB178" s="299"/>
      <c r="AC178" s="19"/>
      <c r="AD178" s="19"/>
      <c r="AE178" s="286" t="str">
        <f>AdresseBezug(Tabellen!$O$5:$O$14)</f>
        <v>O5:O14</v>
      </c>
      <c r="AF178" s="286" t="e">
        <f>VLOOKUP(N178,Tabellen!$O$5:$R$57,3,FALSE)</f>
        <v>#N/A</v>
      </c>
      <c r="AG178" s="286" t="e">
        <f t="shared" ca="1" si="71"/>
        <v>#N/A</v>
      </c>
      <c r="AH178" s="288" t="b">
        <f t="shared" ca="1" si="72"/>
        <v>1</v>
      </c>
      <c r="AI178" s="288" t="b">
        <f t="shared" ca="1" si="73"/>
        <v>1</v>
      </c>
      <c r="AJ178" s="287">
        <f>IF(ISERROR(VLOOKUP(N178,Tabellen!$O$5:$R$58,4,FALSE)),1,VLOOKUP(N178,Tabellen!$O$5:$R$58,4,FALSE))</f>
        <v>1</v>
      </c>
      <c r="AK178" s="287">
        <f>IF(ISERROR(VLOOKUP(N178,Tabellen!$O$5:$S$58,5,FALSE)),1,VLOOKUP(N178,Tabellen!$O$5:$S$58,5,FALSE))</f>
        <v>1</v>
      </c>
    </row>
    <row r="179" spans="1:41" ht="15" hidden="1" thickTop="1" thickBot="1">
      <c r="A179" s="285">
        <v>8</v>
      </c>
      <c r="B179" s="544"/>
      <c r="C179" s="736"/>
      <c r="D179" s="545"/>
      <c r="E179" s="1219" t="str">
        <f t="shared" si="70"/>
        <v/>
      </c>
      <c r="F179" s="1219"/>
      <c r="G179" s="1220"/>
      <c r="H179" s="534">
        <f ca="1">CHOOSE(AK179,0,
VLOOKUP(P179,OFFSET(INDIRECT("Tabellen!"&amp;AG179),0,0,,2),2,FALSE),
VLOOKUP(P179,OFFSET(INDIRECT("Tabellen!"&amp;AG179),0,0,,3),3,FALSE),
VLOOKUP(P179,OFFSET(INDIRECT("Tabellen!"&amp;AG179),0,0,,3),3,FALSE),
RechLuftschichtRuhend(B179,MATCH(Bauteile!O179,Tabellen!$W$5:$W$12,0)),
VLOOKUP(O179,OFFSET(INDIRECT("Tabellen!"&amp;AF179),0,0,,7),7,FALSE))</f>
        <v>0</v>
      </c>
      <c r="I179" s="316">
        <f t="shared" ca="1" si="74"/>
        <v>0</v>
      </c>
      <c r="J179" s="304" t="str">
        <f>IF(AND(C179="keilförmig",(C185+D185&gt;0)),"keilförmig nur homogen",
IF(AND(C178="",C179&lt;&gt;"",B179&lt;&gt;B180),"Dicke " &amp; C179 &amp; " &lt;&gt; Dicke "&amp; C180,
IF(AND(C178&lt;&gt;"",C179&lt;&gt;"",RIGHT(C178,1)&lt;&gt;RIGHT(C179,1),B179&lt;&gt;B180),"Dicke " &amp; C179 &amp; " &lt;&gt; Dicke "&amp; C180,
IF(COUNTIF(b01_x,"=a1")&gt;1,"a1 nur einmal",
IF(COUNTIF(b01_x,"=b1")&gt;1,"b1 nur einmal",
IF(COUNTIF(b01_x,"=a2")&gt;1,"a2 nur einmal",
IF(COUNTIF(b01_x,"=b2")&gt;1,"b2 nur einmal","")))))))</f>
        <v/>
      </c>
      <c r="M179" s="490" t="str">
        <f t="shared" si="75"/>
        <v/>
      </c>
      <c r="N179" s="552"/>
      <c r="O179" s="553"/>
      <c r="P179" s="554"/>
      <c r="S179" s="1168" t="str">
        <f t="shared" si="76"/>
        <v/>
      </c>
      <c r="T179" s="404">
        <f t="shared" ca="1" si="77"/>
        <v>0</v>
      </c>
      <c r="U179" s="404">
        <f t="shared" ca="1" si="78"/>
        <v>0</v>
      </c>
      <c r="V179" s="404">
        <f t="shared" ca="1" si="78"/>
        <v>0</v>
      </c>
      <c r="X179" s="319">
        <f ca="1">IFERROR(IF(T179&gt;0,$H179,0)*T170,0)</f>
        <v>0</v>
      </c>
      <c r="Y179" s="319">
        <f ca="1">IFERROR(IF(LEFT($C179,1)="H",0,IF(U179&gt;0,$H179,IF($H179=0,0,VLOOKUP("H"&amp;Y171,$C172:$H183,6))))*U$104,0)</f>
        <v>0</v>
      </c>
      <c r="Z179" s="319">
        <f ca="1">IFERROR(IF(LEFT($C179,1)="H",0,IF(V179&gt;0,$H179,IF($H179=0,0,VLOOKUP("H"&amp;Z$105,$C172:$H183,6))))*V170,0)</f>
        <v>0</v>
      </c>
      <c r="AA179" s="404">
        <f t="shared" ca="1" si="79"/>
        <v>0</v>
      </c>
      <c r="AB179" s="299"/>
      <c r="AC179" s="19"/>
      <c r="AD179" s="19"/>
      <c r="AE179" s="286" t="str">
        <f>AdresseBezug(Tabellen!$O$5:$O$14)</f>
        <v>O5:O14</v>
      </c>
      <c r="AF179" s="286" t="e">
        <f>VLOOKUP(N179,Tabellen!$O$5:$R$57,3,FALSE)</f>
        <v>#N/A</v>
      </c>
      <c r="AG179" s="286" t="e">
        <f t="shared" ca="1" si="71"/>
        <v>#N/A</v>
      </c>
      <c r="AH179" s="288" t="b">
        <f t="shared" ca="1" si="72"/>
        <v>1</v>
      </c>
      <c r="AI179" s="288" t="b">
        <f t="shared" ca="1" si="73"/>
        <v>1</v>
      </c>
      <c r="AJ179" s="287">
        <f>IF(ISERROR(VLOOKUP(N179,Tabellen!$O$5:$R$58,4,FALSE)),1,VLOOKUP(N179,Tabellen!$O$5:$R$58,4,FALSE))</f>
        <v>1</v>
      </c>
      <c r="AK179" s="287">
        <f>IF(ISERROR(VLOOKUP(N179,Tabellen!$O$5:$S$58,5,FALSE)),1,VLOOKUP(N179,Tabellen!$O$5:$S$58,5,FALSE))</f>
        <v>1</v>
      </c>
    </row>
    <row r="180" spans="1:41" ht="15" hidden="1" thickTop="1" thickBot="1">
      <c r="A180" s="285">
        <v>9</v>
      </c>
      <c r="B180" s="544"/>
      <c r="C180" s="736"/>
      <c r="D180" s="545"/>
      <c r="E180" s="1219" t="str">
        <f t="shared" si="70"/>
        <v/>
      </c>
      <c r="F180" s="1219"/>
      <c r="G180" s="1220"/>
      <c r="H180" s="534">
        <f ca="1">CHOOSE(AK180,0,
VLOOKUP(P180,OFFSET(INDIRECT("Tabellen!"&amp;AG180),0,0,,2),2,FALSE),
VLOOKUP(P180,OFFSET(INDIRECT("Tabellen!"&amp;AG180),0,0,,3),3,FALSE),
VLOOKUP(P180,OFFSET(INDIRECT("Tabellen!"&amp;AG180),0,0,,3),3,FALSE),
RechLuftschichtRuhend(B180,MATCH(Bauteile!O180,Tabellen!$W$5:$W$12,0)),
VLOOKUP(O180,OFFSET(INDIRECT("Tabellen!"&amp;AF180),0,0,,7),7,FALSE))</f>
        <v>0</v>
      </c>
      <c r="I180" s="316">
        <f t="shared" ca="1" si="74"/>
        <v>0</v>
      </c>
      <c r="J180" s="304" t="str">
        <f>IF(AND(C180="keilförmig",(C185+D185&gt;0)),"keilförmig nur homogen",
IF(AND(C179="",C180&lt;&gt;"",B180&lt;&gt;B181),"Dicke " &amp; C180 &amp; " &lt;&gt; Dicke "&amp; C181,
IF(AND(C179&lt;&gt;"",C180&lt;&gt;"",RIGHT(C179,1)&lt;&gt;RIGHT(C180,1),B180&lt;&gt;B181),"Dicke " &amp; C180 &amp; " &lt;&gt; Dicke "&amp; C181,
IF(COUNTIF(b01_x,"=a1")&gt;1,"a1 nur einmal",
IF(COUNTIF(b01_x,"=b1")&gt;1,"b1 nur einmal",
IF(COUNTIF(b01_x,"=a2")&gt;1,"a2 nur einmal",
IF(COUNTIF(b01_x,"=b2")&gt;1,"b2 nur einmal","")))))))</f>
        <v/>
      </c>
      <c r="M180" s="490" t="str">
        <f t="shared" si="75"/>
        <v/>
      </c>
      <c r="N180" s="552"/>
      <c r="O180" s="553"/>
      <c r="P180" s="554"/>
      <c r="S180" s="1168" t="str">
        <f t="shared" si="76"/>
        <v/>
      </c>
      <c r="T180" s="404">
        <f t="shared" ca="1" si="77"/>
        <v>0</v>
      </c>
      <c r="U180" s="404">
        <f t="shared" ca="1" si="78"/>
        <v>0</v>
      </c>
      <c r="V180" s="404">
        <f t="shared" ca="1" si="78"/>
        <v>0</v>
      </c>
      <c r="X180" s="319">
        <f ca="1">IFERROR(IF(T180&gt;0,$H180,0)*T170,0)</f>
        <v>0</v>
      </c>
      <c r="Y180" s="319">
        <f ca="1">IFERROR(IF(LEFT($C180,1)="H",0,IF(U180&gt;0,$H180,IF($H180=0,0,VLOOKUP("H"&amp;Y171,$C172:$H183,6))))*U$104,0)</f>
        <v>0</v>
      </c>
      <c r="Z180" s="319">
        <f ca="1">IFERROR(IF(LEFT($C180,1)="H",0,IF(V180&gt;0,$H180,IF($H180=0,0,VLOOKUP("H"&amp;Z$105,$C172:$H183,6))))*V170,0)</f>
        <v>0</v>
      </c>
      <c r="AA180" s="404">
        <f t="shared" ca="1" si="79"/>
        <v>0</v>
      </c>
      <c r="AB180" s="299"/>
      <c r="AC180" s="19"/>
      <c r="AD180" s="19"/>
      <c r="AE180" s="286" t="str">
        <f>AdresseBezug(Tabellen!$O$5:$O$14)</f>
        <v>O5:O14</v>
      </c>
      <c r="AF180" s="286" t="e">
        <f>VLOOKUP(N180,Tabellen!$O$5:$R$57,3,FALSE)</f>
        <v>#N/A</v>
      </c>
      <c r="AG180" s="286" t="e">
        <f t="shared" ca="1" si="71"/>
        <v>#N/A</v>
      </c>
      <c r="AH180" s="288" t="b">
        <f t="shared" ca="1" si="72"/>
        <v>1</v>
      </c>
      <c r="AI180" s="288" t="b">
        <f t="shared" ca="1" si="73"/>
        <v>1</v>
      </c>
      <c r="AJ180" s="287">
        <f>IF(ISERROR(VLOOKUP(N180,Tabellen!$O$5:$R$58,4,FALSE)),1,VLOOKUP(N180,Tabellen!$O$5:$R$58,4,FALSE))</f>
        <v>1</v>
      </c>
      <c r="AK180" s="287">
        <f>IF(ISERROR(VLOOKUP(N180,Tabellen!$O$5:$S$58,5,FALSE)),1,VLOOKUP(N180,Tabellen!$O$5:$S$58,5,FALSE))</f>
        <v>1</v>
      </c>
    </row>
    <row r="181" spans="1:41" ht="15" hidden="1" thickTop="1" thickBot="1">
      <c r="A181" s="285">
        <v>10</v>
      </c>
      <c r="B181" s="544"/>
      <c r="C181" s="736"/>
      <c r="D181" s="545"/>
      <c r="E181" s="1219" t="str">
        <f t="shared" si="70"/>
        <v/>
      </c>
      <c r="F181" s="1219"/>
      <c r="G181" s="1220"/>
      <c r="H181" s="534">
        <f ca="1">CHOOSE(AK181,0,
VLOOKUP(P181,OFFSET(INDIRECT("Tabellen!"&amp;AG181),0,0,,2),2,FALSE),
VLOOKUP(P181,OFFSET(INDIRECT("Tabellen!"&amp;AG181),0,0,,3),3,FALSE),
VLOOKUP(P181,OFFSET(INDIRECT("Tabellen!"&amp;AG181),0,0,,3),3,FALSE),
RechLuftschichtRuhend(B181,MATCH(Bauteile!O181,Tabellen!$W$5:$W$12,0)),
VLOOKUP(O181,OFFSET(INDIRECT("Tabellen!"&amp;AF181),0,0,,7),7,FALSE))</f>
        <v>0</v>
      </c>
      <c r="I181" s="316">
        <f t="shared" ca="1" si="74"/>
        <v>0</v>
      </c>
      <c r="J181" s="304" t="str">
        <f>IF(AND(C181="keilförmig",(C185+D185&gt;0)),"keilförmig nur homogen",
IF(AND(C180="",C181&lt;&gt;"",B181&lt;&gt;B182),"Dicke " &amp; C181 &amp; " &lt;&gt; Dicke "&amp; C182,
IF(AND(C180&lt;&gt;"",C181&lt;&gt;"",RIGHT(C180,1)&lt;&gt;RIGHT(C181,1),B181&lt;&gt;B182),"Dicke " &amp; C181 &amp; " &lt;&gt; Dicke "&amp; C182,
IF(COUNTIF(b01_x,"=a1")&gt;1,"a1 nur einmal",
IF(COUNTIF(b01_x,"=b1")&gt;1,"b1 nur einmal",
IF(COUNTIF(b01_x,"=a2")&gt;1,"a2 nur einmal",
IF(COUNTIF(b01_x,"=b2")&gt;1,"b2 nur einmal","")))))))</f>
        <v/>
      </c>
      <c r="M181" s="490" t="str">
        <f t="shared" si="75"/>
        <v/>
      </c>
      <c r="N181" s="552"/>
      <c r="O181" s="553"/>
      <c r="P181" s="554"/>
      <c r="S181" s="1168" t="str">
        <f t="shared" si="76"/>
        <v/>
      </c>
      <c r="T181" s="404">
        <f t="shared" ca="1" si="77"/>
        <v>0</v>
      </c>
      <c r="U181" s="404">
        <f t="shared" ca="1" si="78"/>
        <v>0</v>
      </c>
      <c r="V181" s="404">
        <f t="shared" ca="1" si="78"/>
        <v>0</v>
      </c>
      <c r="X181" s="319">
        <f ca="1">IFERROR(IF(T181&gt;0,$H181,0)*T170,0)</f>
        <v>0</v>
      </c>
      <c r="Y181" s="319">
        <f ca="1">IFERROR(IF(LEFT($C181,1)="H",0,IF(U181&gt;0,$H181,IF($H181=0,0,VLOOKUP("H"&amp;Y171,$C172:$H183,6))))*U$104,0)</f>
        <v>0</v>
      </c>
      <c r="Z181" s="319">
        <f ca="1">IFERROR(IF(LEFT($C181,1)="H",0,IF(V181&gt;0,$H181,IF($H181=0,0,VLOOKUP("H"&amp;Z$105,$C172:$H183,6))))*V170,0)</f>
        <v>0</v>
      </c>
      <c r="AA181" s="404">
        <f t="shared" ca="1" si="79"/>
        <v>0</v>
      </c>
      <c r="AB181" s="299"/>
      <c r="AC181" s="19"/>
      <c r="AD181" s="19"/>
      <c r="AE181" s="286" t="str">
        <f>AdresseBezug(Tabellen!$O$5:$O$14)</f>
        <v>O5:O14</v>
      </c>
      <c r="AF181" s="286" t="e">
        <f>VLOOKUP(N181,Tabellen!$O$5:$R$57,3,FALSE)</f>
        <v>#N/A</v>
      </c>
      <c r="AG181" s="286" t="e">
        <f t="shared" ca="1" si="71"/>
        <v>#N/A</v>
      </c>
      <c r="AH181" s="288" t="b">
        <f t="shared" ca="1" si="72"/>
        <v>1</v>
      </c>
      <c r="AI181" s="288" t="b">
        <f t="shared" ca="1" si="73"/>
        <v>1</v>
      </c>
      <c r="AJ181" s="287">
        <f>IF(ISERROR(VLOOKUP(N181,Tabellen!$O$5:$R$58,4,FALSE)),1,VLOOKUP(N181,Tabellen!$O$5:$R$58,4,FALSE))</f>
        <v>1</v>
      </c>
      <c r="AK181" s="287">
        <f>IF(ISERROR(VLOOKUP(N181,Tabellen!$O$5:$S$58,5,FALSE)),1,VLOOKUP(N181,Tabellen!$O$5:$S$58,5,FALSE))</f>
        <v>1</v>
      </c>
    </row>
    <row r="182" spans="1:41" ht="15" hidden="1" thickTop="1" thickBot="1">
      <c r="A182" s="285">
        <v>11</v>
      </c>
      <c r="B182" s="544"/>
      <c r="C182" s="736"/>
      <c r="D182" s="545"/>
      <c r="E182" s="1219" t="str">
        <f t="shared" si="70"/>
        <v/>
      </c>
      <c r="F182" s="1219"/>
      <c r="G182" s="1220"/>
      <c r="H182" s="534">
        <f ca="1">CHOOSE(AK182,0,
VLOOKUP(P182,OFFSET(INDIRECT("Tabellen!"&amp;AG182),0,0,,2),2,FALSE),
VLOOKUP(P182,OFFSET(INDIRECT("Tabellen!"&amp;AG182),0,0,,3),3,FALSE),
VLOOKUP(P182,OFFSET(INDIRECT("Tabellen!"&amp;AG182),0,0,,3),3,FALSE),
RechLuftschichtRuhend(B182,MATCH(Bauteile!O182,Tabellen!$W$5:$W$12,0)),
VLOOKUP(O182,OFFSET(INDIRECT("Tabellen!"&amp;AF182),0,0,,7),7,FALSE))</f>
        <v>0</v>
      </c>
      <c r="I182" s="316">
        <f t="shared" ca="1" si="74"/>
        <v>0</v>
      </c>
      <c r="J182" s="304" t="str">
        <f>IF(AND(C182="keilförmig",(C185+D185&gt;0)),"keilförmig nur homogen",
IF(AND(C181="",C182&lt;&gt;"",B182&lt;&gt;B183),"Dicke " &amp; C182 &amp; " &lt;&gt; Dicke "&amp; C183,
IF(AND(C181&lt;&gt;"",C182&lt;&gt;"",RIGHT(C181,1)&lt;&gt;RIGHT(C182,1),B182&lt;&gt;B183),"Dicke " &amp; C182 &amp; " &lt;&gt; Dicke "&amp; C183,
IF(COUNTIF(b01_x,"=a1")&gt;1,"a1 nur einmal",
IF(COUNTIF(b01_x,"=b1")&gt;1,"b1 nur einmal",
IF(COUNTIF(b01_x,"=a2")&gt;1,"a2 nur einmal",
IF(COUNTIF(b01_x,"=b2")&gt;1,"b2 nur einmal","")))))))</f>
        <v/>
      </c>
      <c r="M182" s="490" t="str">
        <f t="shared" si="75"/>
        <v/>
      </c>
      <c r="N182" s="552"/>
      <c r="O182" s="553"/>
      <c r="P182" s="554"/>
      <c r="S182" s="1168" t="str">
        <f t="shared" si="76"/>
        <v/>
      </c>
      <c r="T182" s="404">
        <f t="shared" ca="1" si="77"/>
        <v>0</v>
      </c>
      <c r="U182" s="404">
        <f t="shared" ca="1" si="78"/>
        <v>0</v>
      </c>
      <c r="V182" s="404">
        <f t="shared" ca="1" si="78"/>
        <v>0</v>
      </c>
      <c r="X182" s="319">
        <f ca="1">IFERROR(IF(T182&gt;0,$H182,0)*T170,0)</f>
        <v>0</v>
      </c>
      <c r="Y182" s="319">
        <f ca="1">IFERROR(IF(LEFT($C182,1)="H",0,IF(U182&gt;0,$H182,IF($H182=0,0,VLOOKUP("H"&amp;Y171,$C172:$H183,6))))*U$104,0)</f>
        <v>0</v>
      </c>
      <c r="Z182" s="319">
        <f ca="1">IFERROR(IF(LEFT($C182,1)="H",0,IF(V182&gt;0,$H182,IF($H182=0,0,VLOOKUP("H"&amp;Z$105,$C172:$H183,6))))*V170,0)</f>
        <v>0</v>
      </c>
      <c r="AA182" s="404">
        <f t="shared" ca="1" si="79"/>
        <v>0</v>
      </c>
      <c r="AB182" s="299"/>
      <c r="AC182" s="19"/>
      <c r="AD182" s="19"/>
      <c r="AE182" s="286" t="str">
        <f>AdresseBezug(Tabellen!$O$5:$O$14)</f>
        <v>O5:O14</v>
      </c>
      <c r="AF182" s="286" t="e">
        <f>VLOOKUP(N182,Tabellen!$O$5:$R$57,3,FALSE)</f>
        <v>#N/A</v>
      </c>
      <c r="AG182" s="286" t="e">
        <f t="shared" ca="1" si="71"/>
        <v>#N/A</v>
      </c>
      <c r="AH182" s="288" t="b">
        <f t="shared" ca="1" si="72"/>
        <v>1</v>
      </c>
      <c r="AI182" s="288" t="b">
        <f t="shared" ca="1" si="73"/>
        <v>1</v>
      </c>
      <c r="AJ182" s="287">
        <f>IF(ISERROR(VLOOKUP(N182,Tabellen!$O$5:$R$58,4,FALSE)),1,VLOOKUP(N182,Tabellen!$O$5:$R$58,4,FALSE))</f>
        <v>1</v>
      </c>
      <c r="AK182" s="287">
        <f>IF(ISERROR(VLOOKUP(N182,Tabellen!$O$5:$S$58,5,FALSE)),1,VLOOKUP(N182,Tabellen!$O$5:$S$58,5,FALSE))</f>
        <v>1</v>
      </c>
    </row>
    <row r="183" spans="1:41" ht="15" hidden="1" thickTop="1" thickBot="1">
      <c r="A183" s="285">
        <v>12</v>
      </c>
      <c r="B183" s="544"/>
      <c r="C183" s="736"/>
      <c r="D183" s="545"/>
      <c r="E183" s="302" t="str">
        <f t="shared" si="70"/>
        <v/>
      </c>
      <c r="F183" s="302"/>
      <c r="G183" s="303"/>
      <c r="H183" s="534">
        <f ca="1">CHOOSE(AK183,0,
VLOOKUP(P183,OFFSET(INDIRECT("Tabellen!"&amp;AG183),0,0,,2),2,FALSE),
VLOOKUP(P183,OFFSET(INDIRECT("Tabellen!"&amp;AG183),0,0,,3),3,FALSE),
VLOOKUP(P183,OFFSET(INDIRECT("Tabellen!"&amp;AG183),0,0,,3),3,FALSE),
RechLuftschichtRuhend(B183,MATCH(Bauteile!O183,Tabellen!$W$5:$W$12,0)),
VLOOKUP(O183,OFFSET(INDIRECT("Tabellen!"&amp;AF183),0,0,,7),7,FALSE))</f>
        <v>0</v>
      </c>
      <c r="I183" s="316">
        <f t="shared" ca="1" si="74"/>
        <v>0</v>
      </c>
      <c r="J183" s="304" t="str">
        <f>IF(AND(C183="keilförmig",(C185+D185&gt;0)),"keilförmig nur homogen",
IF(AND(C182="",C183&lt;&gt;"",B183&lt;&gt;B184),"Dicke " &amp; C183 &amp; " &lt;&gt; Dicke "&amp; C184,
IF(AND(C182&lt;&gt;"",C183&lt;&gt;"",RIGHT(C182,1)&lt;&gt;RIGHT(C183,1),B183&lt;&gt;B184),"Dicke " &amp; C183 &amp; " &lt;&gt; Dicke "&amp; C184,
IF(COUNTIF(b01_x,"=a1")&gt;1,"a1 nur einmal",
IF(COUNTIF(b01_x,"=b1")&gt;1,"b1 nur einmal",
IF(COUNTIF(b01_x,"=a2")&gt;1,"a2 nur einmal",
IF(COUNTIF(b01_x,"=b2")&gt;1,"b2 nur einmal","")))))))</f>
        <v/>
      </c>
      <c r="M183" s="490" t="str">
        <f t="shared" si="75"/>
        <v/>
      </c>
      <c r="N183" s="552"/>
      <c r="O183" s="553"/>
      <c r="P183" s="554"/>
      <c r="S183" s="1168" t="str">
        <f t="shared" si="76"/>
        <v/>
      </c>
      <c r="T183" s="404">
        <f t="shared" ca="1" si="77"/>
        <v>0</v>
      </c>
      <c r="U183" s="404">
        <f t="shared" ca="1" si="78"/>
        <v>0</v>
      </c>
      <c r="V183" s="404">
        <f t="shared" ca="1" si="78"/>
        <v>0</v>
      </c>
      <c r="X183" s="319">
        <f ca="1">IFERROR(IF(T183&gt;0,$H183,0)*T170,0)</f>
        <v>0</v>
      </c>
      <c r="Y183" s="319">
        <f ca="1">IFERROR(IF(LEFT($C183,1)="H",0,IF(U183&gt;0,$H183,IF($H183=0,0,VLOOKUP("H"&amp;Y171,$C172:$H183,6))))*U$104,0)</f>
        <v>0</v>
      </c>
      <c r="Z183" s="319">
        <f ca="1">IFERROR(IF(LEFT($C183,1)="H",0,IF(V183&gt;0,$H183,IF($H183=0,0,VLOOKUP("H"&amp;Z$105,$C172:$H183,6))))*V170,0)</f>
        <v>0</v>
      </c>
      <c r="AA183" s="404">
        <f t="shared" ca="1" si="79"/>
        <v>0</v>
      </c>
      <c r="AB183" s="299"/>
      <c r="AC183" s="19"/>
      <c r="AD183" s="19"/>
      <c r="AE183" s="286" t="str">
        <f>AdresseBezug(Tabellen!$O$5:$O$14)</f>
        <v>O5:O14</v>
      </c>
      <c r="AF183" s="286" t="e">
        <f>VLOOKUP(N183,Tabellen!$O$5:$R$57,3,FALSE)</f>
        <v>#N/A</v>
      </c>
      <c r="AG183" s="286" t="e">
        <f t="shared" ca="1" si="71"/>
        <v>#N/A</v>
      </c>
      <c r="AH183" s="288" t="b">
        <f t="shared" ca="1" si="72"/>
        <v>1</v>
      </c>
      <c r="AI183" s="288" t="b">
        <f t="shared" ca="1" si="73"/>
        <v>1</v>
      </c>
      <c r="AJ183" s="287">
        <f>IF(ISERROR(VLOOKUP(N183,Tabellen!$O$5:$R$58,4,FALSE)),1,VLOOKUP(N183,Tabellen!$O$5:$R$58,4,FALSE))</f>
        <v>1</v>
      </c>
      <c r="AK183" s="287">
        <f>IF(ISERROR(VLOOKUP(N183,Tabellen!$O$5:$S$58,5,FALSE)),1,VLOOKUP(N183,Tabellen!$O$5:$S$58,5,FALSE))</f>
        <v>1</v>
      </c>
    </row>
    <row r="184" spans="1:41" ht="14.4" hidden="1" thickTop="1">
      <c r="A184" s="281" t="s">
        <v>812</v>
      </c>
      <c r="B184" s="284"/>
      <c r="C184" s="409" t="s">
        <v>1944</v>
      </c>
      <c r="D184" s="409" t="s">
        <v>1945</v>
      </c>
      <c r="E184" s="301">
        <f>E171</f>
        <v>0</v>
      </c>
      <c r="F184" s="301"/>
      <c r="G184" s="301"/>
      <c r="H184" s="284"/>
      <c r="I184" s="154"/>
      <c r="J184" s="315">
        <f>IF(E184&gt;0,VLOOKUP(E184,Tabellen!$W$5:$Y$12,3,FALSE),0)</f>
        <v>0</v>
      </c>
      <c r="M184" s="57"/>
      <c r="Q184" s="57"/>
      <c r="R184" s="57"/>
      <c r="S184" s="295" t="s">
        <v>812</v>
      </c>
      <c r="T184" s="403">
        <f>IF(T170&gt;0,$J184,0)</f>
        <v>0</v>
      </c>
      <c r="U184" s="403">
        <f>IF(U170&gt;0,$J184,0)</f>
        <v>0</v>
      </c>
      <c r="V184" s="403">
        <f>IF(V170&gt;0,$J184,0)</f>
        <v>0</v>
      </c>
      <c r="X184" s="320"/>
      <c r="Y184" s="320"/>
      <c r="Z184" s="320"/>
      <c r="AA184" s="403">
        <f>J184</f>
        <v>0</v>
      </c>
      <c r="AB184" s="299"/>
      <c r="AC184" s="19"/>
      <c r="AD184" s="19"/>
      <c r="AE184" s="713" t="s">
        <v>2459</v>
      </c>
      <c r="AF184" s="713"/>
      <c r="AG184" s="713"/>
      <c r="AH184" s="713" t="s">
        <v>1942</v>
      </c>
      <c r="AI184" s="713"/>
      <c r="AJ184" s="713"/>
      <c r="AL184" s="713" t="s">
        <v>2460</v>
      </c>
      <c r="AM184" s="714"/>
    </row>
    <row r="185" spans="1:41" ht="15" hidden="1">
      <c r="A185" s="364" t="s">
        <v>342</v>
      </c>
      <c r="B185" s="317">
        <f>SUMIF(C172:C183,"",B172:B183)+SUMIF(C172:C183,"G1",B172:B183)+SUMIF(C172:C183,"G2",B172:B183)</f>
        <v>0</v>
      </c>
      <c r="C185" s="317">
        <f>SUMIF(C172:C183,"G1",D172:D183)+SUMIF(C172:C183,"H1",D172:D183)</f>
        <v>0</v>
      </c>
      <c r="D185" s="317">
        <f>SUMIF(C172:C183,"G2",D172:D183)+SUMIF(C172:C183,"H2",D172:D183)</f>
        <v>0</v>
      </c>
      <c r="E185" s="532" t="s">
        <v>2514</v>
      </c>
      <c r="F185" s="533" t="str">
        <f>IF(AND(C185&gt;0,D185=0),"mit inhomogen Schichten (1 Ebene)",
IF(AND(C185&gt;0,D185&gt;0),"mit inhomogen Schichten (2 Ebenen, um 90° gedreht)",
IF(SUM(M172:M183)&gt;0,"mit keilförmiger Schicht","mit homogenen Schichten")))</f>
        <v>mit homogenen Schichten</v>
      </c>
      <c r="G185" s="283"/>
      <c r="H185" s="152"/>
      <c r="I185" s="152"/>
      <c r="J185" s="274"/>
      <c r="K185" s="46" t="str">
        <f>IF(OR(C185&gt;0,D185&gt;0),AK185,IF(SUM(M172:M183)&gt;0,AO185,""))</f>
        <v/>
      </c>
      <c r="L185" s="46"/>
      <c r="M185" s="46"/>
      <c r="N185" s="46"/>
      <c r="O185" s="46"/>
      <c r="P185" s="46"/>
      <c r="Q185" s="57"/>
      <c r="R185" s="57"/>
      <c r="S185" s="295" t="s">
        <v>3427</v>
      </c>
      <c r="T185" s="404">
        <f ca="1">SUM(T171:T184)</f>
        <v>0</v>
      </c>
      <c r="U185" s="404">
        <f ca="1">SUM(U171:U184)</f>
        <v>0</v>
      </c>
      <c r="V185" s="404">
        <f ca="1">SUM(V171:V184)</f>
        <v>0</v>
      </c>
      <c r="X185" s="320">
        <f ca="1">SUM(X172:X183)</f>
        <v>0</v>
      </c>
      <c r="Y185" s="320">
        <f ca="1">SUM(Y172:Y183)</f>
        <v>0</v>
      </c>
      <c r="Z185" s="320">
        <f ca="1">SUM(Z172:Z183)</f>
        <v>0</v>
      </c>
      <c r="AA185" s="405">
        <f ca="1">SUM(AA171:AA184)</f>
        <v>0</v>
      </c>
      <c r="AB185" s="297" t="s">
        <v>3417</v>
      </c>
      <c r="AC185" s="19"/>
      <c r="AD185" s="19"/>
      <c r="AK185" s="207" t="s">
        <v>3433</v>
      </c>
      <c r="AO185" s="207" t="s">
        <v>955</v>
      </c>
    </row>
    <row r="186" spans="1:41" ht="15" hidden="1">
      <c r="A186" s="275"/>
      <c r="B186" s="276" t="str">
        <f>IF(OR(C185&gt;0,D185&gt;0),AH186,IF(SUM(M172:M183)&gt;0,AL186,AE186))</f>
        <v>Wärmedurchgangswiderstand</v>
      </c>
      <c r="C186" s="276"/>
      <c r="G186" s="37"/>
      <c r="H186" s="521" t="str">
        <f>IF(OR(C185&gt;0,D185&gt;0),AI186,IF(SUM(M172:M183)&gt;0,AM186,AF186))</f>
        <v>R = Rsi + ∑ di / λi + Rse =</v>
      </c>
      <c r="I186" s="513">
        <f ca="1">IF(OR(C185&gt;0,D185&gt;0),AJ186,IF(SUM(M172:M183)&gt;0,AN186,AG186))</f>
        <v>0</v>
      </c>
      <c r="J186" s="277" t="s">
        <v>809</v>
      </c>
      <c r="K186" s="1226" t="str">
        <f>IF(OR(C185&gt;0,D185&gt;0),AK186,IF(SUM(M172:M183)&gt;0,AO186,""))</f>
        <v/>
      </c>
      <c r="L186" s="1227"/>
      <c r="M186" s="1227"/>
      <c r="N186" s="1227"/>
      <c r="O186" s="1227"/>
      <c r="P186" s="1227"/>
      <c r="Q186" s="57"/>
      <c r="R186" s="57"/>
      <c r="S186" s="1170" t="s">
        <v>3428</v>
      </c>
      <c r="T186" s="404">
        <f ca="1">IFERROR(T170/T185,0)</f>
        <v>0</v>
      </c>
      <c r="U186" s="404">
        <f t="shared" ref="U186:V186" ca="1" si="80">IFERROR(U170/U185,0)</f>
        <v>0</v>
      </c>
      <c r="V186" s="404">
        <f t="shared" ca="1" si="80"/>
        <v>0</v>
      </c>
      <c r="X186" s="321"/>
      <c r="Y186" s="321"/>
      <c r="Z186" s="321"/>
      <c r="AA186" s="322"/>
      <c r="AB186" s="299"/>
      <c r="AC186" s="19"/>
      <c r="AD186" s="19"/>
      <c r="AE186" s="711" t="s">
        <v>2461</v>
      </c>
      <c r="AF186" s="710" t="s">
        <v>2466</v>
      </c>
      <c r="AG186" s="715">
        <f ca="1">T185</f>
        <v>0</v>
      </c>
      <c r="AH186" s="711" t="s">
        <v>2468</v>
      </c>
      <c r="AI186" s="710" t="s">
        <v>3429</v>
      </c>
      <c r="AJ186" s="715">
        <f ca="1">IF(SUM(T186:V186)&gt;0,1/SUM(T186:V186),0)</f>
        <v>0</v>
      </c>
      <c r="AK186" s="207" t="s">
        <v>2464</v>
      </c>
      <c r="AL186" s="711" t="s">
        <v>2470</v>
      </c>
      <c r="AM186" s="710" t="s">
        <v>2485</v>
      </c>
      <c r="AN186" s="715" t="str">
        <f>IF(SUM(M172:M183)&gt;0,SUM(M172:M183),"")</f>
        <v/>
      </c>
      <c r="AO186" s="207" t="s">
        <v>2416</v>
      </c>
    </row>
    <row r="187" spans="1:41" ht="15" hidden="1">
      <c r="A187" s="275"/>
      <c r="B187" s="276" t="str">
        <f>IF(OR(C185&gt;0,D185&gt;0),AH187,IF(SUM(M172:M183)&gt;0,AL187,AE187))</f>
        <v xml:space="preserve"> </v>
      </c>
      <c r="G187" s="276"/>
      <c r="H187" s="521" t="str">
        <f>IF(OR(C185&gt;0,D185&gt;0),AI187,IF(SUM(M172:M183)&gt;0,AM187,AF187))</f>
        <v xml:space="preserve"> </v>
      </c>
      <c r="I187" s="513" t="str">
        <f>IF(OR(C185&gt;0,D185&gt;0),AJ187,IF(SUM(M172:M183)&gt;0,AN187,AG187))</f>
        <v xml:space="preserve"> </v>
      </c>
      <c r="J187" s="277" t="s">
        <v>809</v>
      </c>
      <c r="K187" s="1226"/>
      <c r="L187" s="1227"/>
      <c r="M187" s="1227"/>
      <c r="N187" s="1227"/>
      <c r="O187" s="1227"/>
      <c r="P187" s="1227"/>
      <c r="Q187" s="57"/>
      <c r="R187" s="57"/>
      <c r="S187" s="297" t="s">
        <v>3426</v>
      </c>
      <c r="T187" s="405"/>
      <c r="U187" s="405"/>
      <c r="V187" s="405">
        <f ca="1">IF(SUM(T186:V186)&gt;0,1/SUM(T186:V186),0)</f>
        <v>0</v>
      </c>
      <c r="AC187" s="19"/>
      <c r="AD187" s="19"/>
      <c r="AE187" s="711" t="s">
        <v>955</v>
      </c>
      <c r="AF187" s="710" t="s">
        <v>955</v>
      </c>
      <c r="AG187" s="715" t="s">
        <v>955</v>
      </c>
      <c r="AH187" s="711" t="s">
        <v>2465</v>
      </c>
      <c r="AI187" s="710" t="s">
        <v>3430</v>
      </c>
      <c r="AJ187" s="715">
        <f ca="1">AA185</f>
        <v>0</v>
      </c>
      <c r="AK187" s="207" t="s">
        <v>955</v>
      </c>
      <c r="AL187" s="711" t="s">
        <v>2469</v>
      </c>
      <c r="AM187" s="710" t="s">
        <v>2467</v>
      </c>
      <c r="AN187" s="715" t="str">
        <f>IF(SUM(M172:M183)&gt;0,SUM(I171:J184),"")</f>
        <v/>
      </c>
      <c r="AO187" s="207" t="s">
        <v>955</v>
      </c>
    </row>
    <row r="188" spans="1:41" ht="15" hidden="1">
      <c r="A188" s="280"/>
      <c r="B188" s="281" t="str">
        <f>IF(OR(C185&gt;0,D185&gt;0),AH188,IF(SUM(M172:M183)&gt;0,AL188,AE188))</f>
        <v>Wärmedurchgangskoeffizient</v>
      </c>
      <c r="C188" s="154"/>
      <c r="D188" s="154"/>
      <c r="E188" s="154"/>
      <c r="F188" s="154"/>
      <c r="G188" s="154"/>
      <c r="H188" s="522" t="str">
        <f>IF(OR(C185&gt;0,D185&gt;0),AI188,IF(SUM(M172:M183)&gt;0,AM188,AF188))</f>
        <v>U = 1 / R =</v>
      </c>
      <c r="I188" s="514" t="str">
        <f ca="1">IF(OR(C185&gt;0,D185&gt;0),AJ188,IF(SUM(M172:M183)&gt;0,AN188,AG188))</f>
        <v/>
      </c>
      <c r="J188" s="282" t="s">
        <v>815</v>
      </c>
      <c r="K188" s="46" t="str">
        <f>IF(OR(C185&gt;0,D185&gt;0),AK188,IF(SUM(M172:M183)&gt;0,AO188,""))</f>
        <v/>
      </c>
      <c r="L188" s="46"/>
      <c r="M188" s="46"/>
      <c r="N188" s="46"/>
      <c r="O188" s="46"/>
      <c r="P188" s="46"/>
      <c r="Q188" s="57"/>
      <c r="R188" s="57"/>
      <c r="W188" s="57"/>
      <c r="X188" s="292"/>
      <c r="Y188" s="292"/>
      <c r="Z188" s="292"/>
      <c r="AC188" s="19"/>
      <c r="AD188" s="19"/>
      <c r="AE188" s="711" t="s">
        <v>813</v>
      </c>
      <c r="AF188" s="710" t="s">
        <v>2463</v>
      </c>
      <c r="AG188" s="715" t="str">
        <f ca="1">IF(AG186&gt;0,1/AG186,"")</f>
        <v/>
      </c>
      <c r="AH188" s="711" t="s">
        <v>813</v>
      </c>
      <c r="AI188" s="710" t="s">
        <v>3431</v>
      </c>
      <c r="AJ188" s="715">
        <f ca="1">IF((AJ186+AJ187)&gt;0,2/(AJ186+AJ187),0)</f>
        <v>0</v>
      </c>
      <c r="AK188" s="207" t="str">
        <f>"Hier: Rtot;upper / Rtot;lower = "&amp; IF(AND(I187&gt;0,(C185+D185)&gt;0),TEXT(I186/I187,"0,00")&amp;IF(I186/I187&lt;=1.5," &lt;= 1,5, d.h. zulässig"," &gt; 1,5, d.h. nicht zulässig"),"nicht relevant")</f>
        <v>Hier: Rtot;upper / Rtot;lower = nicht relevant</v>
      </c>
      <c r="AL188" s="711" t="s">
        <v>2462</v>
      </c>
      <c r="AM188" s="710" t="s">
        <v>2486</v>
      </c>
      <c r="AN188" s="715" t="str">
        <f>IF(SUM(M172:M183)&gt;0,IF(AN186*AN187&gt;0,1/AN186*LN(1+AN186/AN187),""),"")</f>
        <v/>
      </c>
      <c r="AO188" s="207" t="s">
        <v>2417</v>
      </c>
    </row>
    <row r="189" spans="1:41" s="18" customFormat="1" ht="13.8">
      <c r="A189" s="33"/>
      <c r="B189" s="33"/>
      <c r="C189" s="33"/>
      <c r="D189" s="33"/>
      <c r="E189" s="33"/>
      <c r="F189" s="33"/>
      <c r="G189" s="33"/>
      <c r="H189" s="33"/>
      <c r="I189" s="33"/>
      <c r="J189" s="33"/>
      <c r="K189" s="33"/>
      <c r="L189" s="33"/>
      <c r="M189" s="33"/>
      <c r="Q189" s="33"/>
      <c r="R189" s="33"/>
      <c r="T189" s="292"/>
      <c r="AC189" s="19"/>
      <c r="AD189" s="19"/>
      <c r="AE189" s="187"/>
      <c r="AF189" s="187"/>
      <c r="AG189" s="187"/>
      <c r="AH189" s="187"/>
      <c r="AI189" s="187"/>
      <c r="AJ189" s="187"/>
      <c r="AK189" s="187"/>
      <c r="AL189" s="149"/>
      <c r="AM189" s="187"/>
      <c r="AN189" s="187"/>
      <c r="AO189" s="187"/>
    </row>
    <row r="190" spans="1:41" ht="13.8">
      <c r="A190" s="419" t="s">
        <v>819</v>
      </c>
      <c r="B190" s="1214"/>
      <c r="C190" s="1215"/>
      <c r="D190" s="1215"/>
      <c r="E190" s="1215"/>
      <c r="F190" s="1216"/>
      <c r="G190" s="1216"/>
      <c r="H190" s="1216"/>
      <c r="I190" s="523" t="str">
        <f ca="1">I210</f>
        <v/>
      </c>
      <c r="J190" s="737">
        <v>0.5</v>
      </c>
      <c r="K190" s="33"/>
      <c r="L190" s="87">
        <f>ROW(A191)</f>
        <v>191</v>
      </c>
      <c r="M190" s="87">
        <f>ROW(A210)</f>
        <v>210</v>
      </c>
      <c r="N190" s="515">
        <f>(ROW(A190)-ROW($A$36))/(ROW($A$58)-ROW($A$36))+1</f>
        <v>8</v>
      </c>
      <c r="O190" s="216"/>
      <c r="P190" s="216"/>
      <c r="Q190" s="87"/>
      <c r="R190" s="87"/>
      <c r="S190" s="297" t="s">
        <v>3414</v>
      </c>
      <c r="T190" s="294"/>
      <c r="U190" s="293"/>
      <c r="V190" s="293"/>
      <c r="X190" s="297" t="s">
        <v>3415</v>
      </c>
      <c r="Y190" s="297"/>
      <c r="Z190" s="297"/>
      <c r="AA190" s="294"/>
      <c r="AB190" s="298"/>
      <c r="AC190" s="19"/>
      <c r="AD190" s="19"/>
    </row>
    <row r="191" spans="1:41" ht="22.8" hidden="1">
      <c r="A191" s="310" t="s">
        <v>1125</v>
      </c>
      <c r="B191" s="365" t="s">
        <v>1115</v>
      </c>
      <c r="C191" s="1221" t="s">
        <v>3425</v>
      </c>
      <c r="D191" s="1222"/>
      <c r="E191" s="306" t="s">
        <v>1116</v>
      </c>
      <c r="F191" s="305"/>
      <c r="G191" s="305"/>
      <c r="H191" s="306" t="s">
        <v>1120</v>
      </c>
      <c r="I191" s="306" t="s">
        <v>1679</v>
      </c>
      <c r="J191" s="591" t="s">
        <v>1113</v>
      </c>
      <c r="K191" s="33"/>
      <c r="M191" s="57"/>
      <c r="N191" s="387"/>
      <c r="Q191" s="57"/>
      <c r="R191" s="57"/>
      <c r="S191" s="295" t="s">
        <v>3416</v>
      </c>
      <c r="T191" s="1167">
        <v>0</v>
      </c>
      <c r="U191" s="296">
        <v>1</v>
      </c>
      <c r="V191" s="296">
        <v>2</v>
      </c>
      <c r="X191" s="1169" t="s">
        <v>3413</v>
      </c>
      <c r="Y191" s="296"/>
      <c r="Z191" s="296"/>
      <c r="AA191" s="296" t="s">
        <v>3418</v>
      </c>
      <c r="AB191" s="298"/>
      <c r="AC191" s="19"/>
      <c r="AD191" s="19"/>
      <c r="AE191" s="272" t="s">
        <v>824</v>
      </c>
      <c r="AF191" s="197"/>
      <c r="AG191" s="197"/>
      <c r="AH191" s="195" t="s">
        <v>842</v>
      </c>
      <c r="AI191" s="199"/>
      <c r="AJ191" s="289" t="s">
        <v>1671</v>
      </c>
      <c r="AK191" s="289"/>
    </row>
    <row r="192" spans="1:41" ht="13.8" hidden="1">
      <c r="A192" s="312"/>
      <c r="B192" s="306" t="s">
        <v>807</v>
      </c>
      <c r="C192" s="306" t="s">
        <v>3424</v>
      </c>
      <c r="D192" s="306" t="s">
        <v>807</v>
      </c>
      <c r="E192" s="311" t="s">
        <v>806</v>
      </c>
      <c r="F192" s="770"/>
      <c r="G192" s="771"/>
      <c r="H192" s="306" t="s">
        <v>808</v>
      </c>
      <c r="I192" s="306" t="s">
        <v>1122</v>
      </c>
      <c r="J192" s="591" t="s">
        <v>809</v>
      </c>
      <c r="N192" s="387"/>
      <c r="S192" s="295" t="s">
        <v>1114</v>
      </c>
      <c r="T192" s="405">
        <f>1-U192-V192</f>
        <v>1</v>
      </c>
      <c r="U192" s="405">
        <f>IF(C207=0,0,SUMIF($C194:$C205,"H"&amp;U191,$D194:$D205)/C207)</f>
        <v>0</v>
      </c>
      <c r="V192" s="405">
        <f>IF(D207=0,0,SUMIF($C194:$C205,"H"&amp;V191,$D194:$D205)/D207)</f>
        <v>0</v>
      </c>
      <c r="X192" s="407" t="s">
        <v>3423</v>
      </c>
      <c r="Y192" s="407" t="s">
        <v>1910</v>
      </c>
      <c r="Z192" s="407"/>
      <c r="AA192" s="406" t="s">
        <v>3432</v>
      </c>
      <c r="AB192" s="299"/>
      <c r="AC192" s="19"/>
      <c r="AD192" s="19"/>
      <c r="AE192" s="197"/>
      <c r="AF192" s="197"/>
      <c r="AG192" s="197"/>
      <c r="AH192" s="199"/>
      <c r="AI192" s="199"/>
      <c r="AJ192" s="289" t="s">
        <v>1672</v>
      </c>
      <c r="AK192" s="289"/>
    </row>
    <row r="193" spans="1:41" ht="13.8" hidden="1">
      <c r="A193" s="279" t="s">
        <v>810</v>
      </c>
      <c r="B193" s="276"/>
      <c r="C193" s="276"/>
      <c r="D193" s="276"/>
      <c r="E193" s="1217"/>
      <c r="F193" s="1218"/>
      <c r="G193" s="1218"/>
      <c r="H193" s="276"/>
      <c r="I193" s="278"/>
      <c r="J193" s="315">
        <f>IF(E193&gt;0,VLOOKUP(E193,Tabellen!$W$5:$Y$12,2,FALSE),0)</f>
        <v>0</v>
      </c>
      <c r="N193" s="418" t="s">
        <v>821</v>
      </c>
      <c r="O193" s="418" t="s">
        <v>818</v>
      </c>
      <c r="P193" s="418" t="s">
        <v>820</v>
      </c>
      <c r="S193" s="295" t="s">
        <v>810</v>
      </c>
      <c r="T193" s="403">
        <f>IF(T192&gt;0,$J193,0)</f>
        <v>0</v>
      </c>
      <c r="U193" s="403">
        <f>IF(U192&gt;0,$J193,0)</f>
        <v>0</v>
      </c>
      <c r="V193" s="403">
        <f>IF(V192&gt;0,$J193,0)</f>
        <v>0</v>
      </c>
      <c r="X193" s="1169">
        <v>0</v>
      </c>
      <c r="Y193" s="1169">
        <v>1</v>
      </c>
      <c r="Z193" s="1169">
        <v>2</v>
      </c>
      <c r="AA193" s="403">
        <f>J193</f>
        <v>0</v>
      </c>
      <c r="AB193" s="299"/>
      <c r="AC193" s="19"/>
      <c r="AD193" s="19"/>
      <c r="AE193" s="197" t="s">
        <v>821</v>
      </c>
      <c r="AF193" s="197" t="s">
        <v>818</v>
      </c>
      <c r="AG193" s="197" t="s">
        <v>820</v>
      </c>
      <c r="AH193" s="199" t="s">
        <v>1678</v>
      </c>
      <c r="AI193" s="199" t="s">
        <v>818</v>
      </c>
    </row>
    <row r="194" spans="1:41" ht="14.4" hidden="1" thickBot="1">
      <c r="A194" s="285">
        <v>1</v>
      </c>
      <c r="B194" s="540"/>
      <c r="C194" s="736"/>
      <c r="D194" s="541"/>
      <c r="E194" s="1219" t="str">
        <f t="shared" ref="E194:E205" si="81">IF(AJ194&gt;1,N194&amp;": "&amp;INDEX(N194:P194,AJ194),"")</f>
        <v/>
      </c>
      <c r="F194" s="1219"/>
      <c r="G194" s="1220"/>
      <c r="H194" s="534">
        <f ca="1">CHOOSE(AK194,0,
VLOOKUP(P194,OFFSET(INDIRECT("Tabellen!"&amp;AG194),0,0,,2),2,FALSE),
VLOOKUP(P194,OFFSET(INDIRECT("Tabellen!"&amp;AG194),0,0,,3),3,FALSE),
VLOOKUP(P194,OFFSET(INDIRECT("Tabellen!"&amp;AG194),0,0,,3),3,FALSE),
RechLuftschichtRuhend(B194,MATCH(Bauteile!O194,Tabellen!$W$5:$W$12,0)),
VLOOKUP(O194,OFFSET(INDIRECT("Tabellen!"&amp;AF194),0,0,,7),7,FALSE))</f>
        <v>0</v>
      </c>
      <c r="I194" s="316">
        <f ca="1">IF(C194="keilförmig","siehe unten",IF(H194&gt;0,B194/1000/H194,0))</f>
        <v>0</v>
      </c>
      <c r="J194" s="304" t="str">
        <f>IF(AND(C194="keilförmig",(C207+D207&gt;0)),"keilförmig nur homogen",
IF(AND(C193="",C194&lt;&gt;"",B194&lt;&gt;B195),"Dicke " &amp; C194 &amp; " &lt;&gt; Dicke "&amp; C195,
IF(AND(C193&lt;&gt;"",C194&lt;&gt;"",RIGHT(C193,1)&lt;&gt;RIGHT(C194,1),B194&lt;&gt;B195),"Dicke " &amp; C194 &amp; " &lt;&gt; Dicke "&amp; C195,
IF(COUNTIF(b01_x,"=a1")&gt;1,"a1 nur einmal",
IF(COUNTIF(b01_x,"=b1")&gt;1,"b1 nur einmal",
IF(COUNTIF(b01_x,"=a2")&gt;1,"a2 nur einmal",
IF(COUNTIF(b01_x,"=b2")&gt;1,"b2 nur einmal","")))))))</f>
        <v/>
      </c>
      <c r="M194" s="490" t="str">
        <f>IF(C194="keilförmig",IF(H194&gt;0,B194/1000/H194,0),"")</f>
        <v/>
      </c>
      <c r="N194" s="546"/>
      <c r="O194" s="547"/>
      <c r="P194" s="548"/>
      <c r="S194" s="1168" t="str">
        <f>IF(AND(C194&lt;&gt;"keilförmig",C194&lt;&gt;""),VALUE(RIGHT(C194,1)),"")</f>
        <v/>
      </c>
      <c r="T194" s="404">
        <f ca="1">IFERROR(IF($H194=0,0,IF(OR($C194=0,LEFT($C194,1)="G"),$B194/1000/$H194,0)),0)</f>
        <v>0</v>
      </c>
      <c r="U194" s="404">
        <f ca="1">IFERROR(IF($H194=0,0,IF($C194="H"&amp;U$103,$B194/1000/$H194,IF($C194="G"&amp;U$103,0,$T194))),0)</f>
        <v>0</v>
      </c>
      <c r="V194" s="404">
        <f ca="1">IFERROR(IF($H194=0,0,IF($C194="H"&amp;V$103,$B194/1000/$H194,IF($C194="G"&amp;V$103,0,$T194))),0)</f>
        <v>0</v>
      </c>
      <c r="X194" s="319">
        <f ca="1">IFERROR(IF(T194&gt;0,$H194,0)*T192,0)</f>
        <v>0</v>
      </c>
      <c r="Y194" s="319">
        <f ca="1">IFERROR(IF(LEFT($C194,1)="H",0,IF(U194&gt;0,$H194,IF($H194=0,0,VLOOKUP("H"&amp;Y193,$C194:$H205,6))))*U$104,0)</f>
        <v>0</v>
      </c>
      <c r="Z194" s="319">
        <f ca="1">IFERROR(IF(LEFT($C194,1)="H",0,IF(V194&gt;0,$H194,IF($H194=0,0,VLOOKUP("H"&amp;Z$105,$C194:$H205,6))))*V192,0)</f>
        <v>0</v>
      </c>
      <c r="AA194" s="404">
        <f ca="1">IFERROR($B194/1000/SUM(X194:Z194),0)</f>
        <v>0</v>
      </c>
      <c r="AB194" s="299"/>
      <c r="AC194" s="19"/>
      <c r="AD194" s="19"/>
      <c r="AE194" s="286" t="str">
        <f>AdresseBezug(Tabellen!$O$5:$O$14)</f>
        <v>O5:O14</v>
      </c>
      <c r="AF194" s="286" t="e">
        <f>VLOOKUP(N194,Tabellen!$O$5:$R$57,3,FALSE)</f>
        <v>#N/A</v>
      </c>
      <c r="AG194" s="286" t="e">
        <f t="shared" ref="AG194:AG205" ca="1" si="82">VLOOKUP(O194,OFFSET(INDIRECT("Tabellen!"&amp;AF194),0,0,,2),2,FALSE)</f>
        <v>#N/A</v>
      </c>
      <c r="AH194" s="288" t="b">
        <f t="shared" ref="AH194:AH205" ca="1" si="83">ISERROR(VLOOKUP(O194,INDIRECT("Tabellen!"&amp;AF194),1,FALSE))</f>
        <v>1</v>
      </c>
      <c r="AI194" s="288" t="b">
        <f t="shared" ref="AI194:AI205" ca="1" si="84">ISERROR(VLOOKUP(P194,INDIRECT("Tabellen!"&amp;AG194),1,FALSE))</f>
        <v>1</v>
      </c>
      <c r="AJ194" s="287">
        <f>IF(ISERROR(VLOOKUP(N194,Tabellen!$O$5:$R$58,4,FALSE)),1,VLOOKUP(N194,Tabellen!$O$5:$R$58,4,FALSE))</f>
        <v>1</v>
      </c>
      <c r="AK194" s="287">
        <f>IF(ISERROR(VLOOKUP(N194,Tabellen!$O$5:$S$58,5,FALSE)),1,VLOOKUP(N194,Tabellen!$O$5:$S$58,5,FALSE))</f>
        <v>1</v>
      </c>
    </row>
    <row r="195" spans="1:41" ht="15" hidden="1" thickTop="1" thickBot="1">
      <c r="A195" s="285">
        <v>2</v>
      </c>
      <c r="B195" s="542"/>
      <c r="C195" s="736"/>
      <c r="D195" s="543"/>
      <c r="E195" s="1219" t="str">
        <f t="shared" si="81"/>
        <v/>
      </c>
      <c r="F195" s="1219"/>
      <c r="G195" s="1220"/>
      <c r="H195" s="534">
        <f ca="1">CHOOSE(AK195,0,
VLOOKUP(P195,OFFSET(INDIRECT("Tabellen!"&amp;AG195),0,0,,2),2,FALSE),
VLOOKUP(P195,OFFSET(INDIRECT("Tabellen!"&amp;AG195),0,0,,3),3,FALSE),
VLOOKUP(P195,OFFSET(INDIRECT("Tabellen!"&amp;AG195),0,0,,3),3,FALSE),
RechLuftschichtRuhend(B195,MATCH(Bauteile!O195,Tabellen!$W$5:$W$12,0)),
VLOOKUP(O195,OFFSET(INDIRECT("Tabellen!"&amp;AF195),0,0,,7),7,FALSE))</f>
        <v>0</v>
      </c>
      <c r="I195" s="316">
        <f t="shared" ref="I195:I205" ca="1" si="85">IF(C195="keilförmig","siehe unten",IF(H195&gt;0,B195/1000/H195,0))</f>
        <v>0</v>
      </c>
      <c r="J195" s="304" t="str">
        <f>IF(AND(C195="keilförmig",(C207+D207&gt;0)),"keilförmig nur homogen",
IF(AND(C194="",C195&lt;&gt;"",B195&lt;&gt;B196),"Dicke " &amp; C195 &amp; " &lt;&gt; Dicke "&amp; C196,
IF(AND(C194&lt;&gt;"",C195&lt;&gt;"",RIGHT(C194,1)&lt;&gt;RIGHT(C195,1),B195&lt;&gt;B196),"Dicke " &amp; C195 &amp; " &lt;&gt; Dicke "&amp; C196,
IF(COUNTIF(b01_x,"=a1")&gt;1,"a1 nur einmal",
IF(COUNTIF(b01_x,"=b1")&gt;1,"b1 nur einmal",
IF(COUNTIF(b01_x,"=a2")&gt;1,"a2 nur einmal",
IF(COUNTIF(b01_x,"=b2")&gt;1,"b2 nur einmal","")))))))</f>
        <v/>
      </c>
      <c r="M195" s="490" t="str">
        <f t="shared" ref="M195:M205" si="86">IF(C195="keilförmig",IF(H195&gt;0,B195/1000/H195,0),"")</f>
        <v/>
      </c>
      <c r="N195" s="549"/>
      <c r="O195" s="550"/>
      <c r="P195" s="551"/>
      <c r="S195" s="1168" t="str">
        <f t="shared" ref="S195:S205" si="87">IF(AND(C195&lt;&gt;"keilförmig",C195&lt;&gt;""),VALUE(RIGHT(C195,1)),"")</f>
        <v/>
      </c>
      <c r="T195" s="404">
        <f t="shared" ref="T195:T205" ca="1" si="88">IFERROR(IF($H195=0,0,IF(OR($C195=0,LEFT($C195,1)="G"),$B195/1000/$H195,0)),0)</f>
        <v>0</v>
      </c>
      <c r="U195" s="404">
        <f t="shared" ref="U195:V205" ca="1" si="89">IFERROR(IF($H195=0,0,IF($C195="H"&amp;U$103,$B195/1000/$H195,IF($C195="G"&amp;U$103,0,$T195))),0)</f>
        <v>0</v>
      </c>
      <c r="V195" s="404">
        <f t="shared" ca="1" si="89"/>
        <v>0</v>
      </c>
      <c r="X195" s="319">
        <f ca="1">IFERROR(IF(T195&gt;0,$H195,0)*T192,0)</f>
        <v>0</v>
      </c>
      <c r="Y195" s="319">
        <f ca="1">IFERROR(IF(LEFT($C195,1)="H",0,IF(U195&gt;0,$H195,IF($H195=0,0,VLOOKUP("H"&amp;Y193,$C194:$H205,6))))*U$104,0)</f>
        <v>0</v>
      </c>
      <c r="Z195" s="319">
        <f ca="1">IFERROR(IF(LEFT($C195,1)="H",0,IF(V195&gt;0,$H195,IF($H195=0,0,VLOOKUP("H"&amp;Z$105,$C194:$H205,6))))*V192,0)</f>
        <v>0</v>
      </c>
      <c r="AA195" s="404">
        <f t="shared" ref="AA195:AA205" ca="1" si="90">IFERROR($B195/1000/SUM(X195:Z195),0)</f>
        <v>0</v>
      </c>
      <c r="AB195" s="299"/>
      <c r="AC195" s="19"/>
      <c r="AD195" s="19"/>
      <c r="AE195" s="286" t="str">
        <f>AdresseBezug(Tabellen!$O$5:$O$14)</f>
        <v>O5:O14</v>
      </c>
      <c r="AF195" s="286" t="e">
        <f>VLOOKUP(N195,Tabellen!$O$5:$R$57,3,FALSE)</f>
        <v>#N/A</v>
      </c>
      <c r="AG195" s="286" t="e">
        <f t="shared" ca="1" si="82"/>
        <v>#N/A</v>
      </c>
      <c r="AH195" s="288" t="b">
        <f t="shared" ca="1" si="83"/>
        <v>1</v>
      </c>
      <c r="AI195" s="288" t="b">
        <f t="shared" ca="1" si="84"/>
        <v>1</v>
      </c>
      <c r="AJ195" s="287">
        <f>IF(ISERROR(VLOOKUP(N195,Tabellen!$O$5:$R$58,4,FALSE)),1,VLOOKUP(N195,Tabellen!$O$5:$R$58,4,FALSE))</f>
        <v>1</v>
      </c>
      <c r="AK195" s="287">
        <f>IF(ISERROR(VLOOKUP(N195,Tabellen!$O$5:$S$58,5,FALSE)),1,VLOOKUP(N195,Tabellen!$O$5:$S$58,5,FALSE))</f>
        <v>1</v>
      </c>
    </row>
    <row r="196" spans="1:41" ht="15" hidden="1" thickTop="1" thickBot="1">
      <c r="A196" s="285">
        <v>3</v>
      </c>
      <c r="B196" s="542"/>
      <c r="C196" s="736"/>
      <c r="D196" s="543"/>
      <c r="E196" s="1219" t="str">
        <f t="shared" si="81"/>
        <v/>
      </c>
      <c r="F196" s="1219"/>
      <c r="G196" s="1220"/>
      <c r="H196" s="534">
        <f ca="1">CHOOSE(AK196,0,
VLOOKUP(P196,OFFSET(INDIRECT("Tabellen!"&amp;AG196),0,0,,2),2,FALSE),
VLOOKUP(P196,OFFSET(INDIRECT("Tabellen!"&amp;AG196),0,0,,3),3,FALSE),
VLOOKUP(P196,OFFSET(INDIRECT("Tabellen!"&amp;AG196),0,0,,3),3,FALSE),
RechLuftschichtRuhend(B196,MATCH(Bauteile!O196,Tabellen!$W$5:$W$12,0)),
VLOOKUP(O196,OFFSET(INDIRECT("Tabellen!"&amp;AF196),0,0,,7),7,FALSE))</f>
        <v>0</v>
      </c>
      <c r="I196" s="316">
        <f t="shared" ca="1" si="85"/>
        <v>0</v>
      </c>
      <c r="J196" s="304" t="str">
        <f>IF(AND(C196="keilförmig",(C207+D207&gt;0)),"keilförmig nur homogen",
IF(AND(C195="",C196&lt;&gt;"",B196&lt;&gt;B197),"Dicke " &amp; C196 &amp; " &lt;&gt; Dicke "&amp; C197,
IF(AND(C195&lt;&gt;"",C196&lt;&gt;"",RIGHT(C195,1)&lt;&gt;RIGHT(C196,1),B196&lt;&gt;B197),"Dicke " &amp; C196 &amp; " &lt;&gt; Dicke "&amp; C197,
IF(COUNTIF(b01_x,"=a1")&gt;1,"a1 nur einmal",
IF(COUNTIF(b01_x,"=b1")&gt;1,"b1 nur einmal",
IF(COUNTIF(b01_x,"=a2")&gt;1,"a2 nur einmal",
IF(COUNTIF(b01_x,"=b2")&gt;1,"b2 nur einmal","")))))))</f>
        <v/>
      </c>
      <c r="M196" s="490" t="str">
        <f t="shared" si="86"/>
        <v/>
      </c>
      <c r="N196" s="546"/>
      <c r="O196" s="547"/>
      <c r="P196" s="548"/>
      <c r="S196" s="1168" t="str">
        <f t="shared" si="87"/>
        <v/>
      </c>
      <c r="T196" s="404">
        <f t="shared" ca="1" si="88"/>
        <v>0</v>
      </c>
      <c r="U196" s="404">
        <f t="shared" ca="1" si="89"/>
        <v>0</v>
      </c>
      <c r="V196" s="404">
        <f t="shared" ca="1" si="89"/>
        <v>0</v>
      </c>
      <c r="X196" s="319">
        <f ca="1">IFERROR(IF(T196&gt;0,$H196,0)*T192,0)</f>
        <v>0</v>
      </c>
      <c r="Y196" s="319">
        <f ca="1">IFERROR(IF(LEFT($C196,1)="H",0,IF(U196&gt;0,$H196,IF($H196=0,0,VLOOKUP("H"&amp;Y193,$C194:$H205,6))))*U$104,0)</f>
        <v>0</v>
      </c>
      <c r="Z196" s="319">
        <f ca="1">IFERROR(IF(LEFT($C196,1)="H",0,IF(V196&gt;0,$H196,IF($H196=0,0,VLOOKUP("H"&amp;Z$105,$C194:$H205,6))))*V192,0)</f>
        <v>0</v>
      </c>
      <c r="AA196" s="404">
        <f t="shared" ca="1" si="90"/>
        <v>0</v>
      </c>
      <c r="AB196" s="300"/>
      <c r="AC196" s="19"/>
      <c r="AD196" s="19"/>
      <c r="AE196" s="286" t="str">
        <f>AdresseBezug(Tabellen!$O$5:$O$14)</f>
        <v>O5:O14</v>
      </c>
      <c r="AF196" s="286" t="e">
        <f>VLOOKUP(N196,Tabellen!$O$5:$R$57,3,FALSE)</f>
        <v>#N/A</v>
      </c>
      <c r="AG196" s="286" t="e">
        <f t="shared" ca="1" si="82"/>
        <v>#N/A</v>
      </c>
      <c r="AH196" s="288" t="b">
        <f t="shared" ca="1" si="83"/>
        <v>1</v>
      </c>
      <c r="AI196" s="288" t="b">
        <f t="shared" ca="1" si="84"/>
        <v>1</v>
      </c>
      <c r="AJ196" s="287">
        <f>IF(ISERROR(VLOOKUP(N196,Tabellen!$O$5:$R$58,4,FALSE)),1,VLOOKUP(N196,Tabellen!$O$5:$R$58,4,FALSE))</f>
        <v>1</v>
      </c>
      <c r="AK196" s="287">
        <f>IF(ISERROR(VLOOKUP(N196,Tabellen!$O$5:$S$58,5,FALSE)),1,VLOOKUP(N196,Tabellen!$O$5:$S$58,5,FALSE))</f>
        <v>1</v>
      </c>
    </row>
    <row r="197" spans="1:41" ht="15" hidden="1" thickTop="1" thickBot="1">
      <c r="A197" s="285">
        <v>4</v>
      </c>
      <c r="B197" s="542"/>
      <c r="C197" s="736"/>
      <c r="D197" s="543"/>
      <c r="E197" s="1219" t="str">
        <f t="shared" si="81"/>
        <v/>
      </c>
      <c r="F197" s="1219"/>
      <c r="G197" s="1220"/>
      <c r="H197" s="534">
        <f ca="1">CHOOSE(AK197,0,
VLOOKUP(P197,OFFSET(INDIRECT("Tabellen!"&amp;AG197),0,0,,2),2,FALSE),
VLOOKUP(P197,OFFSET(INDIRECT("Tabellen!"&amp;AG197),0,0,,3),3,FALSE),
VLOOKUP(P197,OFFSET(INDIRECT("Tabellen!"&amp;AG197),0,0,,3),3,FALSE),
RechLuftschichtRuhend(B197,MATCH(Bauteile!O197,Tabellen!$W$5:$W$12,0)),
VLOOKUP(O197,OFFSET(INDIRECT("Tabellen!"&amp;AF197),0,0,,7),7,FALSE))</f>
        <v>0</v>
      </c>
      <c r="I197" s="316">
        <f t="shared" ca="1" si="85"/>
        <v>0</v>
      </c>
      <c r="J197" s="304" t="str">
        <f>IF(AND(C197="keilförmig",(C207+D207&gt;0)),"keilförmig nur homogen",
IF(AND(C196="",C197&lt;&gt;"",B197&lt;&gt;B198),"Dicke " &amp; C197 &amp; " &lt;&gt; Dicke "&amp; C198,
IF(AND(C196&lt;&gt;"",C197&lt;&gt;"",RIGHT(C196,1)&lt;&gt;RIGHT(C197,1),B197&lt;&gt;B198),"Dicke " &amp; C197 &amp; " &lt;&gt; Dicke "&amp; C198,
IF(COUNTIF(b01_x,"=a1")&gt;1,"a1 nur einmal",
IF(COUNTIF(b01_x,"=b1")&gt;1,"b1 nur einmal",
IF(COUNTIF(b01_x,"=a2")&gt;1,"a2 nur einmal",
IF(COUNTIF(b01_x,"=b2")&gt;1,"b2 nur einmal","")))))))</f>
        <v/>
      </c>
      <c r="M197" s="490" t="str">
        <f t="shared" si="86"/>
        <v/>
      </c>
      <c r="N197" s="549"/>
      <c r="O197" s="550"/>
      <c r="P197" s="551"/>
      <c r="S197" s="1168" t="str">
        <f t="shared" si="87"/>
        <v/>
      </c>
      <c r="T197" s="404">
        <f t="shared" ca="1" si="88"/>
        <v>0</v>
      </c>
      <c r="U197" s="404">
        <f t="shared" ca="1" si="89"/>
        <v>0</v>
      </c>
      <c r="V197" s="404">
        <f t="shared" ca="1" si="89"/>
        <v>0</v>
      </c>
      <c r="X197" s="319">
        <f ca="1">IFERROR(IF(T197&gt;0,$H197,0)*T192,0)</f>
        <v>0</v>
      </c>
      <c r="Y197" s="319">
        <f ca="1">IFERROR(IF(LEFT($C197,1)="H",0,IF(U197&gt;0,$H197,IF($H197=0,0,VLOOKUP("H"&amp;Y193,$C194:$H205,6))))*U$104,0)</f>
        <v>0</v>
      </c>
      <c r="Z197" s="319">
        <f ca="1">IFERROR(IF(LEFT($C197,1)="H",0,IF(V197&gt;0,$H197,IF($H197=0,0,VLOOKUP("H"&amp;Z$105,$C194:$H205,6))))*V192,0)</f>
        <v>0</v>
      </c>
      <c r="AA197" s="404">
        <f t="shared" ca="1" si="90"/>
        <v>0</v>
      </c>
      <c r="AB197" s="300"/>
      <c r="AC197" s="19"/>
      <c r="AD197" s="19"/>
      <c r="AE197" s="286" t="str">
        <f>AdresseBezug(Tabellen!$O$5:$O$14)</f>
        <v>O5:O14</v>
      </c>
      <c r="AF197" s="286" t="e">
        <f>VLOOKUP(N197,Tabellen!$O$5:$R$57,3,FALSE)</f>
        <v>#N/A</v>
      </c>
      <c r="AG197" s="286" t="e">
        <f t="shared" ca="1" si="82"/>
        <v>#N/A</v>
      </c>
      <c r="AH197" s="288" t="b">
        <f t="shared" ca="1" si="83"/>
        <v>1</v>
      </c>
      <c r="AI197" s="288" t="b">
        <f t="shared" ca="1" si="84"/>
        <v>1</v>
      </c>
      <c r="AJ197" s="287">
        <f>IF(ISERROR(VLOOKUP(N197,Tabellen!$O$5:$R$58,4,FALSE)),1,VLOOKUP(N197,Tabellen!$O$5:$R$58,4,FALSE))</f>
        <v>1</v>
      </c>
      <c r="AK197" s="287">
        <f>IF(ISERROR(VLOOKUP(N197,Tabellen!$O$5:$S$58,5,FALSE)),1,VLOOKUP(N197,Tabellen!$O$5:$S$58,5,FALSE))</f>
        <v>1</v>
      </c>
    </row>
    <row r="198" spans="1:41" ht="15" hidden="1" thickTop="1" thickBot="1">
      <c r="A198" s="285">
        <v>5</v>
      </c>
      <c r="B198" s="542"/>
      <c r="C198" s="736"/>
      <c r="D198" s="543"/>
      <c r="E198" s="1219" t="str">
        <f t="shared" si="81"/>
        <v/>
      </c>
      <c r="F198" s="1219"/>
      <c r="G198" s="1220"/>
      <c r="H198" s="534">
        <f ca="1">CHOOSE(AK198,0,
VLOOKUP(P198,OFFSET(INDIRECT("Tabellen!"&amp;AG198),0,0,,2),2,FALSE),
VLOOKUP(P198,OFFSET(INDIRECT("Tabellen!"&amp;AG198),0,0,,3),3,FALSE),
VLOOKUP(P198,OFFSET(INDIRECT("Tabellen!"&amp;AG198),0,0,,3),3,FALSE),
RechLuftschichtRuhend(B198,MATCH(Bauteile!O198,Tabellen!$W$5:$W$12,0)),
VLOOKUP(O198,OFFSET(INDIRECT("Tabellen!"&amp;AF198),0,0,,7),7,FALSE))</f>
        <v>0</v>
      </c>
      <c r="I198" s="316">
        <f t="shared" ca="1" si="85"/>
        <v>0</v>
      </c>
      <c r="J198" s="304" t="str">
        <f>IF(AND(C198="keilförmig",(C207+D207&gt;0)),"keilförmig nur homogen",
IF(AND(C197="",C198&lt;&gt;"",B198&lt;&gt;B199),"Dicke " &amp; C198 &amp; " &lt;&gt; Dicke "&amp; C199,
IF(AND(C197&lt;&gt;"",C198&lt;&gt;"",RIGHT(C197,1)&lt;&gt;RIGHT(C198,1),B198&lt;&gt;B199),"Dicke " &amp; C198 &amp; " &lt;&gt; Dicke "&amp; C199,
IF(COUNTIF(b01_x,"=a1")&gt;1,"a1 nur einmal",
IF(COUNTIF(b01_x,"=b1")&gt;1,"b1 nur einmal",
IF(COUNTIF(b01_x,"=a2")&gt;1,"a2 nur einmal",
IF(COUNTIF(b01_x,"=b2")&gt;1,"b2 nur einmal","")))))))</f>
        <v/>
      </c>
      <c r="M198" s="490" t="str">
        <f t="shared" si="86"/>
        <v/>
      </c>
      <c r="N198" s="549"/>
      <c r="O198" s="550"/>
      <c r="P198" s="551"/>
      <c r="S198" s="1168" t="str">
        <f t="shared" si="87"/>
        <v/>
      </c>
      <c r="T198" s="404">
        <f t="shared" ca="1" si="88"/>
        <v>0</v>
      </c>
      <c r="U198" s="404">
        <f t="shared" ca="1" si="89"/>
        <v>0</v>
      </c>
      <c r="V198" s="404">
        <f t="shared" ca="1" si="89"/>
        <v>0</v>
      </c>
      <c r="X198" s="319">
        <f ca="1">IFERROR(IF(T198&gt;0,$H198,0)*T192,0)</f>
        <v>0</v>
      </c>
      <c r="Y198" s="319">
        <f ca="1">IFERROR(IF(LEFT($C198,1)="H",0,IF(U198&gt;0,$H198,IF($H198=0,0,VLOOKUP("H"&amp;Y193,$C194:$H205,6))))*U$104,0)</f>
        <v>0</v>
      </c>
      <c r="Z198" s="319">
        <f ca="1">IFERROR(IF(LEFT($C198,1)="H",0,IF(V198&gt;0,$H198,IF($H198=0,0,VLOOKUP("H"&amp;Z$105,$C194:$H205,6))))*V192,0)</f>
        <v>0</v>
      </c>
      <c r="AA198" s="404">
        <f t="shared" ca="1" si="90"/>
        <v>0</v>
      </c>
      <c r="AB198" s="299"/>
      <c r="AC198" s="19"/>
      <c r="AD198" s="19"/>
      <c r="AE198" s="286" t="str">
        <f>AdresseBezug(Tabellen!$O$5:$O$14)</f>
        <v>O5:O14</v>
      </c>
      <c r="AF198" s="286" t="e">
        <f>VLOOKUP(N198,Tabellen!$O$5:$R$57,3,FALSE)</f>
        <v>#N/A</v>
      </c>
      <c r="AG198" s="286" t="e">
        <f t="shared" ca="1" si="82"/>
        <v>#N/A</v>
      </c>
      <c r="AH198" s="288" t="b">
        <f t="shared" ca="1" si="83"/>
        <v>1</v>
      </c>
      <c r="AI198" s="288" t="b">
        <f t="shared" ca="1" si="84"/>
        <v>1</v>
      </c>
      <c r="AJ198" s="287">
        <f>IF(ISERROR(VLOOKUP(N198,Tabellen!$O$5:$R$58,4,FALSE)),1,VLOOKUP(N198,Tabellen!$O$5:$R$58,4,FALSE))</f>
        <v>1</v>
      </c>
      <c r="AK198" s="287">
        <f>IF(ISERROR(VLOOKUP(N198,Tabellen!$O$5:$S$58,5,FALSE)),1,VLOOKUP(N198,Tabellen!$O$5:$S$58,5,FALSE))</f>
        <v>1</v>
      </c>
    </row>
    <row r="199" spans="1:41" ht="15" hidden="1" thickTop="1" thickBot="1">
      <c r="A199" s="285">
        <v>6</v>
      </c>
      <c r="B199" s="542"/>
      <c r="C199" s="736"/>
      <c r="D199" s="543"/>
      <c r="E199" s="1219" t="str">
        <f t="shared" si="81"/>
        <v/>
      </c>
      <c r="F199" s="1219"/>
      <c r="G199" s="1220"/>
      <c r="H199" s="534">
        <f ca="1">CHOOSE(AK199,0,
VLOOKUP(P199,OFFSET(INDIRECT("Tabellen!"&amp;AG199),0,0,,2),2,FALSE),
VLOOKUP(P199,OFFSET(INDIRECT("Tabellen!"&amp;AG199),0,0,,3),3,FALSE),
VLOOKUP(P199,OFFSET(INDIRECT("Tabellen!"&amp;AG199),0,0,,3),3,FALSE),
RechLuftschichtRuhend(B199,MATCH(Bauteile!O199,Tabellen!$W$5:$W$12,0)),
VLOOKUP(O199,OFFSET(INDIRECT("Tabellen!"&amp;AF199),0,0,,7),7,FALSE))</f>
        <v>0</v>
      </c>
      <c r="I199" s="316">
        <f t="shared" ca="1" si="85"/>
        <v>0</v>
      </c>
      <c r="J199" s="304" t="str">
        <f>IF(AND(C199="keilförmig",(C207+D207&gt;0)),"keilförmig nur homogen",
IF(AND(C198="",C199&lt;&gt;"",B199&lt;&gt;B200),"Dicke " &amp; C199 &amp; " &lt;&gt; Dicke "&amp; C200,
IF(AND(C198&lt;&gt;"",C199&lt;&gt;"",RIGHT(C198,1)&lt;&gt;RIGHT(C199,1),B199&lt;&gt;B200),"Dicke " &amp; C199 &amp; " &lt;&gt; Dicke "&amp; C200,
IF(COUNTIF(b01_x,"=a1")&gt;1,"a1 nur einmal",
IF(COUNTIF(b01_x,"=b1")&gt;1,"b1 nur einmal",
IF(COUNTIF(b01_x,"=a2")&gt;1,"a2 nur einmal",
IF(COUNTIF(b01_x,"=b2")&gt;1,"b2 nur einmal","")))))))</f>
        <v/>
      </c>
      <c r="M199" s="490" t="str">
        <f t="shared" si="86"/>
        <v/>
      </c>
      <c r="N199" s="549"/>
      <c r="O199" s="550"/>
      <c r="P199" s="551"/>
      <c r="S199" s="1168" t="str">
        <f t="shared" si="87"/>
        <v/>
      </c>
      <c r="T199" s="404">
        <f t="shared" ca="1" si="88"/>
        <v>0</v>
      </c>
      <c r="U199" s="404">
        <f t="shared" ca="1" si="89"/>
        <v>0</v>
      </c>
      <c r="V199" s="404">
        <f t="shared" ca="1" si="89"/>
        <v>0</v>
      </c>
      <c r="X199" s="319">
        <f ca="1">IFERROR(IF(T199&gt;0,$H199,0)*T192,0)</f>
        <v>0</v>
      </c>
      <c r="Y199" s="319">
        <f ca="1">IFERROR(IF(LEFT($C199,1)="H",0,IF(U199&gt;0,$H199,IF($H199=0,0,VLOOKUP("H"&amp;Y193,$C194:$H205,6))))*U$104,0)</f>
        <v>0</v>
      </c>
      <c r="Z199" s="319">
        <f ca="1">IFERROR(IF(LEFT($C199,1)="H",0,IF(V199&gt;0,$H199,IF($H199=0,0,VLOOKUP("H"&amp;Z$105,$C194:$H205,6))))*V192,0)</f>
        <v>0</v>
      </c>
      <c r="AA199" s="404">
        <f t="shared" ca="1" si="90"/>
        <v>0</v>
      </c>
      <c r="AB199" s="299"/>
      <c r="AC199" s="19"/>
      <c r="AD199" s="19"/>
      <c r="AE199" s="286" t="str">
        <f>AdresseBezug(Tabellen!$O$5:$O$14)</f>
        <v>O5:O14</v>
      </c>
      <c r="AF199" s="286" t="e">
        <f>VLOOKUP(N199,Tabellen!$O$5:$R$57,3,FALSE)</f>
        <v>#N/A</v>
      </c>
      <c r="AG199" s="286" t="e">
        <f t="shared" ca="1" si="82"/>
        <v>#N/A</v>
      </c>
      <c r="AH199" s="288" t="b">
        <f t="shared" ca="1" si="83"/>
        <v>1</v>
      </c>
      <c r="AI199" s="288" t="b">
        <f t="shared" ca="1" si="84"/>
        <v>1</v>
      </c>
      <c r="AJ199" s="287">
        <f>IF(ISERROR(VLOOKUP(N199,Tabellen!$O$5:$R$58,4,FALSE)),1,VLOOKUP(N199,Tabellen!$O$5:$R$58,4,FALSE))</f>
        <v>1</v>
      </c>
      <c r="AK199" s="287">
        <f>IF(ISERROR(VLOOKUP(N199,Tabellen!$O$5:$S$58,5,FALSE)),1,VLOOKUP(N199,Tabellen!$O$5:$S$58,5,FALSE))</f>
        <v>1</v>
      </c>
    </row>
    <row r="200" spans="1:41" ht="15" hidden="1" thickTop="1" thickBot="1">
      <c r="A200" s="285">
        <v>7</v>
      </c>
      <c r="B200" s="542"/>
      <c r="C200" s="736"/>
      <c r="D200" s="543"/>
      <c r="E200" s="1219" t="str">
        <f t="shared" si="81"/>
        <v/>
      </c>
      <c r="F200" s="1219"/>
      <c r="G200" s="1220"/>
      <c r="H200" s="534">
        <f ca="1">CHOOSE(AK200,0,
VLOOKUP(P200,OFFSET(INDIRECT("Tabellen!"&amp;AG200),0,0,,2),2,FALSE),
VLOOKUP(P200,OFFSET(INDIRECT("Tabellen!"&amp;AG200),0,0,,3),3,FALSE),
VLOOKUP(P200,OFFSET(INDIRECT("Tabellen!"&amp;AG200),0,0,,3),3,FALSE),
RechLuftschichtRuhend(B200,MATCH(Bauteile!O200,Tabellen!$W$5:$W$12,0)),
VLOOKUP(O200,OFFSET(INDIRECT("Tabellen!"&amp;AF200),0,0,,7),7,FALSE))</f>
        <v>0</v>
      </c>
      <c r="I200" s="316">
        <f t="shared" ca="1" si="85"/>
        <v>0</v>
      </c>
      <c r="J200" s="304" t="str">
        <f>IF(AND(C200="keilförmig",(C207+D207&gt;0)),"keilförmig nur homogen",
IF(AND(C199="",C200&lt;&gt;"",B200&lt;&gt;B201),"Dicke " &amp; C200 &amp; " &lt;&gt; Dicke "&amp; C201,
IF(AND(C199&lt;&gt;"",C200&lt;&gt;"",RIGHT(C199,1)&lt;&gt;RIGHT(C200,1),B200&lt;&gt;B201),"Dicke " &amp; C200 &amp; " &lt;&gt; Dicke "&amp; C201,
IF(COUNTIF(b01_x,"=a1")&gt;1,"a1 nur einmal",
IF(COUNTIF(b01_x,"=b1")&gt;1,"b1 nur einmal",
IF(COUNTIF(b01_x,"=a2")&gt;1,"a2 nur einmal",
IF(COUNTIF(b01_x,"=b2")&gt;1,"b2 nur einmal","")))))))</f>
        <v/>
      </c>
      <c r="M200" s="490" t="str">
        <f t="shared" si="86"/>
        <v/>
      </c>
      <c r="N200" s="549"/>
      <c r="O200" s="550"/>
      <c r="P200" s="551"/>
      <c r="S200" s="1168" t="str">
        <f t="shared" si="87"/>
        <v/>
      </c>
      <c r="T200" s="404">
        <f t="shared" ca="1" si="88"/>
        <v>0</v>
      </c>
      <c r="U200" s="404">
        <f t="shared" ca="1" si="89"/>
        <v>0</v>
      </c>
      <c r="V200" s="404">
        <f t="shared" ca="1" si="89"/>
        <v>0</v>
      </c>
      <c r="X200" s="319">
        <f ca="1">IFERROR(IF(T200&gt;0,$H200,0)*T192,0)</f>
        <v>0</v>
      </c>
      <c r="Y200" s="319">
        <f ca="1">IFERROR(IF(LEFT($C200,1)="H",0,IF(U200&gt;0,$H200,IF($H200=0,0,VLOOKUP("H"&amp;Y193,$C194:$H205,6))))*U$104,0)</f>
        <v>0</v>
      </c>
      <c r="Z200" s="319">
        <f ca="1">IFERROR(IF(LEFT($C200,1)="H",0,IF(V200&gt;0,$H200,IF($H200=0,0,VLOOKUP("H"&amp;Z$105,$C194:$H205,6))))*V192,0)</f>
        <v>0</v>
      </c>
      <c r="AA200" s="404">
        <f t="shared" ca="1" si="90"/>
        <v>0</v>
      </c>
      <c r="AB200" s="299"/>
      <c r="AC200" s="19"/>
      <c r="AD200" s="19"/>
      <c r="AE200" s="286" t="str">
        <f>AdresseBezug(Tabellen!$O$5:$O$14)</f>
        <v>O5:O14</v>
      </c>
      <c r="AF200" s="286" t="e">
        <f>VLOOKUP(N200,Tabellen!$O$5:$R$57,3,FALSE)</f>
        <v>#N/A</v>
      </c>
      <c r="AG200" s="286" t="e">
        <f t="shared" ca="1" si="82"/>
        <v>#N/A</v>
      </c>
      <c r="AH200" s="288" t="b">
        <f t="shared" ca="1" si="83"/>
        <v>1</v>
      </c>
      <c r="AI200" s="288" t="b">
        <f t="shared" ca="1" si="84"/>
        <v>1</v>
      </c>
      <c r="AJ200" s="287">
        <f>IF(ISERROR(VLOOKUP(N200,Tabellen!$O$5:$R$58,4,FALSE)),1,VLOOKUP(N200,Tabellen!$O$5:$R$58,4,FALSE))</f>
        <v>1</v>
      </c>
      <c r="AK200" s="287">
        <f>IF(ISERROR(VLOOKUP(N200,Tabellen!$O$5:$S$58,5,FALSE)),1,VLOOKUP(N200,Tabellen!$O$5:$S$58,5,FALSE))</f>
        <v>1</v>
      </c>
    </row>
    <row r="201" spans="1:41" ht="15" hidden="1" thickTop="1" thickBot="1">
      <c r="A201" s="285">
        <v>8</v>
      </c>
      <c r="B201" s="544"/>
      <c r="C201" s="736"/>
      <c r="D201" s="545"/>
      <c r="E201" s="1219" t="str">
        <f t="shared" si="81"/>
        <v/>
      </c>
      <c r="F201" s="1219"/>
      <c r="G201" s="1220"/>
      <c r="H201" s="534">
        <f ca="1">CHOOSE(AK201,0,
VLOOKUP(P201,OFFSET(INDIRECT("Tabellen!"&amp;AG201),0,0,,2),2,FALSE),
VLOOKUP(P201,OFFSET(INDIRECT("Tabellen!"&amp;AG201),0,0,,3),3,FALSE),
VLOOKUP(P201,OFFSET(INDIRECT("Tabellen!"&amp;AG201),0,0,,3),3,FALSE),
RechLuftschichtRuhend(B201,MATCH(Bauteile!O201,Tabellen!$W$5:$W$12,0)),
VLOOKUP(O201,OFFSET(INDIRECT("Tabellen!"&amp;AF201),0,0,,7),7,FALSE))</f>
        <v>0</v>
      </c>
      <c r="I201" s="316">
        <f t="shared" ca="1" si="85"/>
        <v>0</v>
      </c>
      <c r="J201" s="304" t="str">
        <f>IF(AND(C201="keilförmig",(C207+D207&gt;0)),"keilförmig nur homogen",
IF(AND(C200="",C201&lt;&gt;"",B201&lt;&gt;B202),"Dicke " &amp; C201 &amp; " &lt;&gt; Dicke "&amp; C202,
IF(AND(C200&lt;&gt;"",C201&lt;&gt;"",RIGHT(C200,1)&lt;&gt;RIGHT(C201,1),B201&lt;&gt;B202),"Dicke " &amp; C201 &amp; " &lt;&gt; Dicke "&amp; C202,
IF(COUNTIF(b01_x,"=a1")&gt;1,"a1 nur einmal",
IF(COUNTIF(b01_x,"=b1")&gt;1,"b1 nur einmal",
IF(COUNTIF(b01_x,"=a2")&gt;1,"a2 nur einmal",
IF(COUNTIF(b01_x,"=b2")&gt;1,"b2 nur einmal","")))))))</f>
        <v/>
      </c>
      <c r="M201" s="490" t="str">
        <f t="shared" si="86"/>
        <v/>
      </c>
      <c r="N201" s="552"/>
      <c r="O201" s="553"/>
      <c r="P201" s="554"/>
      <c r="S201" s="1168" t="str">
        <f t="shared" si="87"/>
        <v/>
      </c>
      <c r="T201" s="404">
        <f t="shared" ca="1" si="88"/>
        <v>0</v>
      </c>
      <c r="U201" s="404">
        <f t="shared" ca="1" si="89"/>
        <v>0</v>
      </c>
      <c r="V201" s="404">
        <f t="shared" ca="1" si="89"/>
        <v>0</v>
      </c>
      <c r="X201" s="319">
        <f ca="1">IFERROR(IF(T201&gt;0,$H201,0)*T192,0)</f>
        <v>0</v>
      </c>
      <c r="Y201" s="319">
        <f ca="1">IFERROR(IF(LEFT($C201,1)="H",0,IF(U201&gt;0,$H201,IF($H201=0,0,VLOOKUP("H"&amp;Y193,$C194:$H205,6))))*U$104,0)</f>
        <v>0</v>
      </c>
      <c r="Z201" s="319">
        <f ca="1">IFERROR(IF(LEFT($C201,1)="H",0,IF(V201&gt;0,$H201,IF($H201=0,0,VLOOKUP("H"&amp;Z$105,$C194:$H205,6))))*V192,0)</f>
        <v>0</v>
      </c>
      <c r="AA201" s="404">
        <f t="shared" ca="1" si="90"/>
        <v>0</v>
      </c>
      <c r="AB201" s="299"/>
      <c r="AC201" s="19"/>
      <c r="AD201" s="19"/>
      <c r="AE201" s="286" t="str">
        <f>AdresseBezug(Tabellen!$O$5:$O$14)</f>
        <v>O5:O14</v>
      </c>
      <c r="AF201" s="286" t="e">
        <f>VLOOKUP(N201,Tabellen!$O$5:$R$57,3,FALSE)</f>
        <v>#N/A</v>
      </c>
      <c r="AG201" s="286" t="e">
        <f t="shared" ca="1" si="82"/>
        <v>#N/A</v>
      </c>
      <c r="AH201" s="288" t="b">
        <f t="shared" ca="1" si="83"/>
        <v>1</v>
      </c>
      <c r="AI201" s="288" t="b">
        <f t="shared" ca="1" si="84"/>
        <v>1</v>
      </c>
      <c r="AJ201" s="287">
        <f>IF(ISERROR(VLOOKUP(N201,Tabellen!$O$5:$R$58,4,FALSE)),1,VLOOKUP(N201,Tabellen!$O$5:$R$58,4,FALSE))</f>
        <v>1</v>
      </c>
      <c r="AK201" s="287">
        <f>IF(ISERROR(VLOOKUP(N201,Tabellen!$O$5:$S$58,5,FALSE)),1,VLOOKUP(N201,Tabellen!$O$5:$S$58,5,FALSE))</f>
        <v>1</v>
      </c>
    </row>
    <row r="202" spans="1:41" ht="15" hidden="1" thickTop="1" thickBot="1">
      <c r="A202" s="285">
        <v>9</v>
      </c>
      <c r="B202" s="544"/>
      <c r="C202" s="736"/>
      <c r="D202" s="545"/>
      <c r="E202" s="1219" t="str">
        <f t="shared" si="81"/>
        <v/>
      </c>
      <c r="F202" s="1219"/>
      <c r="G202" s="1220"/>
      <c r="H202" s="534">
        <f ca="1">CHOOSE(AK202,0,
VLOOKUP(P202,OFFSET(INDIRECT("Tabellen!"&amp;AG202),0,0,,2),2,FALSE),
VLOOKUP(P202,OFFSET(INDIRECT("Tabellen!"&amp;AG202),0,0,,3),3,FALSE),
VLOOKUP(P202,OFFSET(INDIRECT("Tabellen!"&amp;AG202),0,0,,3),3,FALSE),
RechLuftschichtRuhend(B202,MATCH(Bauteile!O202,Tabellen!$W$5:$W$12,0)),
VLOOKUP(O202,OFFSET(INDIRECT("Tabellen!"&amp;AF202),0,0,,7),7,FALSE))</f>
        <v>0</v>
      </c>
      <c r="I202" s="316">
        <f t="shared" ca="1" si="85"/>
        <v>0</v>
      </c>
      <c r="J202" s="304" t="str">
        <f>IF(AND(C202="keilförmig",(C207+D207&gt;0)),"keilförmig nur homogen",
IF(AND(C201="",C202&lt;&gt;"",B202&lt;&gt;B203),"Dicke " &amp; C202 &amp; " &lt;&gt; Dicke "&amp; C203,
IF(AND(C201&lt;&gt;"",C202&lt;&gt;"",RIGHT(C201,1)&lt;&gt;RIGHT(C202,1),B202&lt;&gt;B203),"Dicke " &amp; C202 &amp; " &lt;&gt; Dicke "&amp; C203,
IF(COUNTIF(b01_x,"=a1")&gt;1,"a1 nur einmal",
IF(COUNTIF(b01_x,"=b1")&gt;1,"b1 nur einmal",
IF(COUNTIF(b01_x,"=a2")&gt;1,"a2 nur einmal",
IF(COUNTIF(b01_x,"=b2")&gt;1,"b2 nur einmal","")))))))</f>
        <v/>
      </c>
      <c r="M202" s="490" t="str">
        <f t="shared" si="86"/>
        <v/>
      </c>
      <c r="N202" s="552"/>
      <c r="O202" s="553"/>
      <c r="P202" s="554"/>
      <c r="S202" s="1168" t="str">
        <f t="shared" si="87"/>
        <v/>
      </c>
      <c r="T202" s="404">
        <f t="shared" ca="1" si="88"/>
        <v>0</v>
      </c>
      <c r="U202" s="404">
        <f t="shared" ca="1" si="89"/>
        <v>0</v>
      </c>
      <c r="V202" s="404">
        <f t="shared" ca="1" si="89"/>
        <v>0</v>
      </c>
      <c r="X202" s="319">
        <f ca="1">IFERROR(IF(T202&gt;0,$H202,0)*T192,0)</f>
        <v>0</v>
      </c>
      <c r="Y202" s="319">
        <f ca="1">IFERROR(IF(LEFT($C202,1)="H",0,IF(U202&gt;0,$H202,IF($H202=0,0,VLOOKUP("H"&amp;Y193,$C194:$H205,6))))*U$104,0)</f>
        <v>0</v>
      </c>
      <c r="Z202" s="319">
        <f ca="1">IFERROR(IF(LEFT($C202,1)="H",0,IF(V202&gt;0,$H202,IF($H202=0,0,VLOOKUP("H"&amp;Z$105,$C194:$H205,6))))*V192,0)</f>
        <v>0</v>
      </c>
      <c r="AA202" s="404">
        <f t="shared" ca="1" si="90"/>
        <v>0</v>
      </c>
      <c r="AB202" s="299"/>
      <c r="AC202" s="19"/>
      <c r="AD202" s="19"/>
      <c r="AE202" s="286" t="str">
        <f>AdresseBezug(Tabellen!$O$5:$O$14)</f>
        <v>O5:O14</v>
      </c>
      <c r="AF202" s="286" t="e">
        <f>VLOOKUP(N202,Tabellen!$O$5:$R$57,3,FALSE)</f>
        <v>#N/A</v>
      </c>
      <c r="AG202" s="286" t="e">
        <f t="shared" ca="1" si="82"/>
        <v>#N/A</v>
      </c>
      <c r="AH202" s="288" t="b">
        <f t="shared" ca="1" si="83"/>
        <v>1</v>
      </c>
      <c r="AI202" s="288" t="b">
        <f t="shared" ca="1" si="84"/>
        <v>1</v>
      </c>
      <c r="AJ202" s="287">
        <f>IF(ISERROR(VLOOKUP(N202,Tabellen!$O$5:$R$58,4,FALSE)),1,VLOOKUP(N202,Tabellen!$O$5:$R$58,4,FALSE))</f>
        <v>1</v>
      </c>
      <c r="AK202" s="287">
        <f>IF(ISERROR(VLOOKUP(N202,Tabellen!$O$5:$S$58,5,FALSE)),1,VLOOKUP(N202,Tabellen!$O$5:$S$58,5,FALSE))</f>
        <v>1</v>
      </c>
    </row>
    <row r="203" spans="1:41" ht="15" hidden="1" thickTop="1" thickBot="1">
      <c r="A203" s="285">
        <v>10</v>
      </c>
      <c r="B203" s="544"/>
      <c r="C203" s="736"/>
      <c r="D203" s="545"/>
      <c r="E203" s="1219" t="str">
        <f t="shared" si="81"/>
        <v/>
      </c>
      <c r="F203" s="1219"/>
      <c r="G203" s="1220"/>
      <c r="H203" s="534">
        <f ca="1">CHOOSE(AK203,0,
VLOOKUP(P203,OFFSET(INDIRECT("Tabellen!"&amp;AG203),0,0,,2),2,FALSE),
VLOOKUP(P203,OFFSET(INDIRECT("Tabellen!"&amp;AG203),0,0,,3),3,FALSE),
VLOOKUP(P203,OFFSET(INDIRECT("Tabellen!"&amp;AG203),0,0,,3),3,FALSE),
RechLuftschichtRuhend(B203,MATCH(Bauteile!O203,Tabellen!$W$5:$W$12,0)),
VLOOKUP(O203,OFFSET(INDIRECT("Tabellen!"&amp;AF203),0,0,,7),7,FALSE))</f>
        <v>0</v>
      </c>
      <c r="I203" s="316">
        <f t="shared" ca="1" si="85"/>
        <v>0</v>
      </c>
      <c r="J203" s="304" t="str">
        <f>IF(AND(C203="keilförmig",(C207+D207&gt;0)),"keilförmig nur homogen",
IF(AND(C202="",C203&lt;&gt;"",B203&lt;&gt;B204),"Dicke " &amp; C203 &amp; " &lt;&gt; Dicke "&amp; C204,
IF(AND(C202&lt;&gt;"",C203&lt;&gt;"",RIGHT(C202,1)&lt;&gt;RIGHT(C203,1),B203&lt;&gt;B204),"Dicke " &amp; C203 &amp; " &lt;&gt; Dicke "&amp; C204,
IF(COUNTIF(b01_x,"=a1")&gt;1,"a1 nur einmal",
IF(COUNTIF(b01_x,"=b1")&gt;1,"b1 nur einmal",
IF(COUNTIF(b01_x,"=a2")&gt;1,"a2 nur einmal",
IF(COUNTIF(b01_x,"=b2")&gt;1,"b2 nur einmal","")))))))</f>
        <v/>
      </c>
      <c r="M203" s="490" t="str">
        <f t="shared" si="86"/>
        <v/>
      </c>
      <c r="N203" s="552"/>
      <c r="O203" s="553"/>
      <c r="P203" s="554"/>
      <c r="S203" s="1168" t="str">
        <f t="shared" si="87"/>
        <v/>
      </c>
      <c r="T203" s="404">
        <f t="shared" ca="1" si="88"/>
        <v>0</v>
      </c>
      <c r="U203" s="404">
        <f t="shared" ca="1" si="89"/>
        <v>0</v>
      </c>
      <c r="V203" s="404">
        <f t="shared" ca="1" si="89"/>
        <v>0</v>
      </c>
      <c r="X203" s="319">
        <f ca="1">IFERROR(IF(T203&gt;0,$H203,0)*T192,0)</f>
        <v>0</v>
      </c>
      <c r="Y203" s="319">
        <f ca="1">IFERROR(IF(LEFT($C203,1)="H",0,IF(U203&gt;0,$H203,IF($H203=0,0,VLOOKUP("H"&amp;Y193,$C194:$H205,6))))*U$104,0)</f>
        <v>0</v>
      </c>
      <c r="Z203" s="319">
        <f ca="1">IFERROR(IF(LEFT($C203,1)="H",0,IF(V203&gt;0,$H203,IF($H203=0,0,VLOOKUP("H"&amp;Z$105,$C194:$H205,6))))*V192,0)</f>
        <v>0</v>
      </c>
      <c r="AA203" s="404">
        <f t="shared" ca="1" si="90"/>
        <v>0</v>
      </c>
      <c r="AB203" s="299"/>
      <c r="AC203" s="19"/>
      <c r="AD203" s="19"/>
      <c r="AE203" s="286" t="str">
        <f>AdresseBezug(Tabellen!$O$5:$O$14)</f>
        <v>O5:O14</v>
      </c>
      <c r="AF203" s="286" t="e">
        <f>VLOOKUP(N203,Tabellen!$O$5:$R$57,3,FALSE)</f>
        <v>#N/A</v>
      </c>
      <c r="AG203" s="286" t="e">
        <f t="shared" ca="1" si="82"/>
        <v>#N/A</v>
      </c>
      <c r="AH203" s="288" t="b">
        <f t="shared" ca="1" si="83"/>
        <v>1</v>
      </c>
      <c r="AI203" s="288" t="b">
        <f t="shared" ca="1" si="84"/>
        <v>1</v>
      </c>
      <c r="AJ203" s="287">
        <f>IF(ISERROR(VLOOKUP(N203,Tabellen!$O$5:$R$58,4,FALSE)),1,VLOOKUP(N203,Tabellen!$O$5:$R$58,4,FALSE))</f>
        <v>1</v>
      </c>
      <c r="AK203" s="287">
        <f>IF(ISERROR(VLOOKUP(N203,Tabellen!$O$5:$S$58,5,FALSE)),1,VLOOKUP(N203,Tabellen!$O$5:$S$58,5,FALSE))</f>
        <v>1</v>
      </c>
    </row>
    <row r="204" spans="1:41" ht="15" hidden="1" thickTop="1" thickBot="1">
      <c r="A204" s="285">
        <v>11</v>
      </c>
      <c r="B204" s="544"/>
      <c r="C204" s="736"/>
      <c r="D204" s="545"/>
      <c r="E204" s="1219" t="str">
        <f t="shared" si="81"/>
        <v/>
      </c>
      <c r="F204" s="1219"/>
      <c r="G204" s="1220"/>
      <c r="H204" s="534">
        <f ca="1">CHOOSE(AK204,0,
VLOOKUP(P204,OFFSET(INDIRECT("Tabellen!"&amp;AG204),0,0,,2),2,FALSE),
VLOOKUP(P204,OFFSET(INDIRECT("Tabellen!"&amp;AG204),0,0,,3),3,FALSE),
VLOOKUP(P204,OFFSET(INDIRECT("Tabellen!"&amp;AG204),0,0,,3),3,FALSE),
RechLuftschichtRuhend(B204,MATCH(Bauteile!O204,Tabellen!$W$5:$W$12,0)),
VLOOKUP(O204,OFFSET(INDIRECT("Tabellen!"&amp;AF204),0,0,,7),7,FALSE))</f>
        <v>0</v>
      </c>
      <c r="I204" s="316">
        <f t="shared" ca="1" si="85"/>
        <v>0</v>
      </c>
      <c r="J204" s="304" t="str">
        <f>IF(AND(C204="keilförmig",(C207+D207&gt;0)),"keilförmig nur homogen",
IF(AND(C203="",C204&lt;&gt;"",B204&lt;&gt;B205),"Dicke " &amp; C204 &amp; " &lt;&gt; Dicke "&amp; C205,
IF(AND(C203&lt;&gt;"",C204&lt;&gt;"",RIGHT(C203,1)&lt;&gt;RIGHT(C204,1),B204&lt;&gt;B205),"Dicke " &amp; C204 &amp; " &lt;&gt; Dicke "&amp; C205,
IF(COUNTIF(b01_x,"=a1")&gt;1,"a1 nur einmal",
IF(COUNTIF(b01_x,"=b1")&gt;1,"b1 nur einmal",
IF(COUNTIF(b01_x,"=a2")&gt;1,"a2 nur einmal",
IF(COUNTIF(b01_x,"=b2")&gt;1,"b2 nur einmal","")))))))</f>
        <v/>
      </c>
      <c r="M204" s="490" t="str">
        <f t="shared" si="86"/>
        <v/>
      </c>
      <c r="N204" s="552"/>
      <c r="O204" s="553"/>
      <c r="P204" s="554"/>
      <c r="S204" s="1168" t="str">
        <f t="shared" si="87"/>
        <v/>
      </c>
      <c r="T204" s="404">
        <f t="shared" ca="1" si="88"/>
        <v>0</v>
      </c>
      <c r="U204" s="404">
        <f t="shared" ca="1" si="89"/>
        <v>0</v>
      </c>
      <c r="V204" s="404">
        <f t="shared" ca="1" si="89"/>
        <v>0</v>
      </c>
      <c r="X204" s="319">
        <f ca="1">IFERROR(IF(T204&gt;0,$H204,0)*T192,0)</f>
        <v>0</v>
      </c>
      <c r="Y204" s="319">
        <f ca="1">IFERROR(IF(LEFT($C204,1)="H",0,IF(U204&gt;0,$H204,IF($H204=0,0,VLOOKUP("H"&amp;Y193,$C194:$H205,6))))*U$104,0)</f>
        <v>0</v>
      </c>
      <c r="Z204" s="319">
        <f ca="1">IFERROR(IF(LEFT($C204,1)="H",0,IF(V204&gt;0,$H204,IF($H204=0,0,VLOOKUP("H"&amp;Z$105,$C194:$H205,6))))*V192,0)</f>
        <v>0</v>
      </c>
      <c r="AA204" s="404">
        <f t="shared" ca="1" si="90"/>
        <v>0</v>
      </c>
      <c r="AB204" s="299"/>
      <c r="AC204" s="19"/>
      <c r="AD204" s="19"/>
      <c r="AE204" s="286" t="str">
        <f>AdresseBezug(Tabellen!$O$5:$O$14)</f>
        <v>O5:O14</v>
      </c>
      <c r="AF204" s="286" t="e">
        <f>VLOOKUP(N204,Tabellen!$O$5:$R$57,3,FALSE)</f>
        <v>#N/A</v>
      </c>
      <c r="AG204" s="286" t="e">
        <f t="shared" ca="1" si="82"/>
        <v>#N/A</v>
      </c>
      <c r="AH204" s="288" t="b">
        <f t="shared" ca="1" si="83"/>
        <v>1</v>
      </c>
      <c r="AI204" s="288" t="b">
        <f t="shared" ca="1" si="84"/>
        <v>1</v>
      </c>
      <c r="AJ204" s="287">
        <f>IF(ISERROR(VLOOKUP(N204,Tabellen!$O$5:$R$58,4,FALSE)),1,VLOOKUP(N204,Tabellen!$O$5:$R$58,4,FALSE))</f>
        <v>1</v>
      </c>
      <c r="AK204" s="287">
        <f>IF(ISERROR(VLOOKUP(N204,Tabellen!$O$5:$S$58,5,FALSE)),1,VLOOKUP(N204,Tabellen!$O$5:$S$58,5,FALSE))</f>
        <v>1</v>
      </c>
    </row>
    <row r="205" spans="1:41" ht="15" hidden="1" thickTop="1" thickBot="1">
      <c r="A205" s="285">
        <v>12</v>
      </c>
      <c r="B205" s="544"/>
      <c r="C205" s="736"/>
      <c r="D205" s="545"/>
      <c r="E205" s="302" t="str">
        <f t="shared" si="81"/>
        <v/>
      </c>
      <c r="F205" s="302"/>
      <c r="G205" s="303"/>
      <c r="H205" s="534">
        <f ca="1">CHOOSE(AK205,0,
VLOOKUP(P205,OFFSET(INDIRECT("Tabellen!"&amp;AG205),0,0,,2),2,FALSE),
VLOOKUP(P205,OFFSET(INDIRECT("Tabellen!"&amp;AG205),0,0,,3),3,FALSE),
VLOOKUP(P205,OFFSET(INDIRECT("Tabellen!"&amp;AG205),0,0,,3),3,FALSE),
RechLuftschichtRuhend(B205,MATCH(Bauteile!O205,Tabellen!$W$5:$W$12,0)),
VLOOKUP(O205,OFFSET(INDIRECT("Tabellen!"&amp;AF205),0,0,,7),7,FALSE))</f>
        <v>0</v>
      </c>
      <c r="I205" s="316">
        <f t="shared" ca="1" si="85"/>
        <v>0</v>
      </c>
      <c r="J205" s="304" t="str">
        <f>IF(AND(C205="keilförmig",(C207+D207&gt;0)),"keilförmig nur homogen",
IF(AND(C204="",C205&lt;&gt;"",B205&lt;&gt;B206),"Dicke " &amp; C205 &amp; " &lt;&gt; Dicke "&amp; C206,
IF(AND(C204&lt;&gt;"",C205&lt;&gt;"",RIGHT(C204,1)&lt;&gt;RIGHT(C205,1),B205&lt;&gt;B206),"Dicke " &amp; C205 &amp; " &lt;&gt; Dicke "&amp; C206,
IF(COUNTIF(b01_x,"=a1")&gt;1,"a1 nur einmal",
IF(COUNTIF(b01_x,"=b1")&gt;1,"b1 nur einmal",
IF(COUNTIF(b01_x,"=a2")&gt;1,"a2 nur einmal",
IF(COUNTIF(b01_x,"=b2")&gt;1,"b2 nur einmal","")))))))</f>
        <v/>
      </c>
      <c r="M205" s="490" t="str">
        <f t="shared" si="86"/>
        <v/>
      </c>
      <c r="N205" s="552"/>
      <c r="O205" s="553"/>
      <c r="P205" s="554"/>
      <c r="S205" s="1168" t="str">
        <f t="shared" si="87"/>
        <v/>
      </c>
      <c r="T205" s="404">
        <f t="shared" ca="1" si="88"/>
        <v>0</v>
      </c>
      <c r="U205" s="404">
        <f t="shared" ca="1" si="89"/>
        <v>0</v>
      </c>
      <c r="V205" s="404">
        <f t="shared" ca="1" si="89"/>
        <v>0</v>
      </c>
      <c r="X205" s="319">
        <f ca="1">IFERROR(IF(T205&gt;0,$H205,0)*T192,0)</f>
        <v>0</v>
      </c>
      <c r="Y205" s="319">
        <f ca="1">IFERROR(IF(LEFT($C205,1)="H",0,IF(U205&gt;0,$H205,IF($H205=0,0,VLOOKUP("H"&amp;Y193,$C194:$H205,6))))*U$104,0)</f>
        <v>0</v>
      </c>
      <c r="Z205" s="319">
        <f ca="1">IFERROR(IF(LEFT($C205,1)="H",0,IF(V205&gt;0,$H205,IF($H205=0,0,VLOOKUP("H"&amp;Z$105,$C194:$H205,6))))*V192,0)</f>
        <v>0</v>
      </c>
      <c r="AA205" s="404">
        <f t="shared" ca="1" si="90"/>
        <v>0</v>
      </c>
      <c r="AB205" s="299"/>
      <c r="AC205" s="19"/>
      <c r="AD205" s="19"/>
      <c r="AE205" s="286" t="str">
        <f>AdresseBezug(Tabellen!$O$5:$O$14)</f>
        <v>O5:O14</v>
      </c>
      <c r="AF205" s="286" t="e">
        <f>VLOOKUP(N205,Tabellen!$O$5:$R$57,3,FALSE)</f>
        <v>#N/A</v>
      </c>
      <c r="AG205" s="286" t="e">
        <f t="shared" ca="1" si="82"/>
        <v>#N/A</v>
      </c>
      <c r="AH205" s="288" t="b">
        <f t="shared" ca="1" si="83"/>
        <v>1</v>
      </c>
      <c r="AI205" s="288" t="b">
        <f t="shared" ca="1" si="84"/>
        <v>1</v>
      </c>
      <c r="AJ205" s="287">
        <f>IF(ISERROR(VLOOKUP(N205,Tabellen!$O$5:$R$58,4,FALSE)),1,VLOOKUP(N205,Tabellen!$O$5:$R$58,4,FALSE))</f>
        <v>1</v>
      </c>
      <c r="AK205" s="287">
        <f>IF(ISERROR(VLOOKUP(N205,Tabellen!$O$5:$S$58,5,FALSE)),1,VLOOKUP(N205,Tabellen!$O$5:$S$58,5,FALSE))</f>
        <v>1</v>
      </c>
    </row>
    <row r="206" spans="1:41" ht="14.4" hidden="1" thickTop="1">
      <c r="A206" s="281" t="s">
        <v>812</v>
      </c>
      <c r="B206" s="284"/>
      <c r="C206" s="409" t="s">
        <v>1944</v>
      </c>
      <c r="D206" s="409" t="s">
        <v>1945</v>
      </c>
      <c r="E206" s="301">
        <f>E193</f>
        <v>0</v>
      </c>
      <c r="F206" s="301"/>
      <c r="G206" s="301"/>
      <c r="H206" s="284"/>
      <c r="I206" s="154"/>
      <c r="J206" s="315">
        <f>IF(E206&gt;0,VLOOKUP(E206,Tabellen!$W$5:$Y$12,3,FALSE),0)</f>
        <v>0</v>
      </c>
      <c r="M206" s="57"/>
      <c r="Q206" s="57"/>
      <c r="R206" s="57"/>
      <c r="S206" s="295" t="s">
        <v>812</v>
      </c>
      <c r="T206" s="403">
        <f>IF(T192&gt;0,$J206,0)</f>
        <v>0</v>
      </c>
      <c r="U206" s="403">
        <f>IF(U192&gt;0,$J206,0)</f>
        <v>0</v>
      </c>
      <c r="V206" s="403">
        <f>IF(V192&gt;0,$J206,0)</f>
        <v>0</v>
      </c>
      <c r="X206" s="320"/>
      <c r="Y206" s="320"/>
      <c r="Z206" s="320"/>
      <c r="AA206" s="403">
        <f>J206</f>
        <v>0</v>
      </c>
      <c r="AB206" s="299"/>
      <c r="AC206" s="19"/>
      <c r="AD206" s="19"/>
      <c r="AE206" s="713" t="s">
        <v>2459</v>
      </c>
      <c r="AF206" s="713"/>
      <c r="AG206" s="713"/>
      <c r="AH206" s="713" t="s">
        <v>1942</v>
      </c>
      <c r="AI206" s="713"/>
      <c r="AJ206" s="713"/>
      <c r="AL206" s="713" t="s">
        <v>2460</v>
      </c>
      <c r="AM206" s="714"/>
    </row>
    <row r="207" spans="1:41" ht="15" hidden="1">
      <c r="A207" s="364" t="s">
        <v>342</v>
      </c>
      <c r="B207" s="317">
        <f>SUMIF(C194:C205,"",B194:B205)+SUMIF(C194:C205,"G1",B194:B205)+SUMIF(C194:C205,"G2",B194:B205)</f>
        <v>0</v>
      </c>
      <c r="C207" s="317">
        <f>SUMIF(C194:C205,"G1",D194:D205)+SUMIF(C194:C205,"H1",D194:D205)</f>
        <v>0</v>
      </c>
      <c r="D207" s="317">
        <f>SUMIF(C194:C205,"G2",D194:D205)+SUMIF(C194:C205,"H2",D194:D205)</f>
        <v>0</v>
      </c>
      <c r="E207" s="532" t="s">
        <v>2514</v>
      </c>
      <c r="F207" s="533" t="str">
        <f>IF(AND(C207&gt;0,D207=0),"mit inhomogen Schichten (1 Ebene)",
IF(AND(C207&gt;0,D207&gt;0),"mit inhomogen Schichten (2 Ebenen, um 90° gedreht)",
IF(SUM(M194:M205)&gt;0,"mit keilförmiger Schicht","mit homogenen Schichten")))</f>
        <v>mit homogenen Schichten</v>
      </c>
      <c r="G207" s="283"/>
      <c r="H207" s="152"/>
      <c r="I207" s="152"/>
      <c r="J207" s="274"/>
      <c r="K207" s="46" t="str">
        <f>IF(OR(C207&gt;0,D207&gt;0),AK207,IF(SUM(M194:M205)&gt;0,AO207,""))</f>
        <v/>
      </c>
      <c r="L207" s="46"/>
      <c r="M207" s="46"/>
      <c r="N207" s="46"/>
      <c r="O207" s="46"/>
      <c r="P207" s="46"/>
      <c r="Q207" s="57"/>
      <c r="R207" s="57"/>
      <c r="S207" s="295" t="s">
        <v>3427</v>
      </c>
      <c r="T207" s="404">
        <f ca="1">SUM(T193:T206)</f>
        <v>0</v>
      </c>
      <c r="U207" s="404">
        <f ca="1">SUM(U193:U206)</f>
        <v>0</v>
      </c>
      <c r="V207" s="404">
        <f ca="1">SUM(V193:V206)</f>
        <v>0</v>
      </c>
      <c r="X207" s="320">
        <f ca="1">SUM(X194:X205)</f>
        <v>0</v>
      </c>
      <c r="Y207" s="320">
        <f ca="1">SUM(Y194:Y205)</f>
        <v>0</v>
      </c>
      <c r="Z207" s="320">
        <f ca="1">SUM(Z194:Z205)</f>
        <v>0</v>
      </c>
      <c r="AA207" s="405">
        <f ca="1">SUM(AA193:AA206)</f>
        <v>0</v>
      </c>
      <c r="AB207" s="297" t="s">
        <v>3417</v>
      </c>
      <c r="AC207" s="19"/>
      <c r="AD207" s="19"/>
      <c r="AK207" s="207" t="s">
        <v>3433</v>
      </c>
      <c r="AO207" s="207" t="s">
        <v>955</v>
      </c>
    </row>
    <row r="208" spans="1:41" ht="15" hidden="1">
      <c r="A208" s="275"/>
      <c r="B208" s="276" t="str">
        <f>IF(OR(C207&gt;0,D207&gt;0),AH208,IF(SUM(M194:M205)&gt;0,AL208,AE208))</f>
        <v>Wärmedurchgangswiderstand</v>
      </c>
      <c r="C208" s="276"/>
      <c r="G208" s="37"/>
      <c r="H208" s="521" t="str">
        <f>IF(OR(C207&gt;0,D207&gt;0),AI208,IF(SUM(M194:M205)&gt;0,AM208,AF208))</f>
        <v>R = Rsi + ∑ di / λi + Rse =</v>
      </c>
      <c r="I208" s="513">
        <f ca="1">IF(OR(C207&gt;0,D207&gt;0),AJ208,IF(SUM(M194:M205)&gt;0,AN208,AG208))</f>
        <v>0</v>
      </c>
      <c r="J208" s="277" t="s">
        <v>809</v>
      </c>
      <c r="K208" s="1226" t="str">
        <f>IF(OR(C207&gt;0,D207&gt;0),AK208,IF(SUM(M194:M205)&gt;0,AO208,""))</f>
        <v/>
      </c>
      <c r="L208" s="1227"/>
      <c r="M208" s="1227"/>
      <c r="N208" s="1227"/>
      <c r="O208" s="1227"/>
      <c r="P208" s="1227"/>
      <c r="Q208" s="57"/>
      <c r="R208" s="57"/>
      <c r="S208" s="1170" t="s">
        <v>3428</v>
      </c>
      <c r="T208" s="404">
        <f ca="1">IFERROR(T192/T207,0)</f>
        <v>0</v>
      </c>
      <c r="U208" s="404">
        <f t="shared" ref="U208:V208" ca="1" si="91">IFERROR(U192/U207,0)</f>
        <v>0</v>
      </c>
      <c r="V208" s="404">
        <f t="shared" ca="1" si="91"/>
        <v>0</v>
      </c>
      <c r="X208" s="321"/>
      <c r="Y208" s="321"/>
      <c r="Z208" s="321"/>
      <c r="AA208" s="322"/>
      <c r="AB208" s="299"/>
      <c r="AC208" s="19"/>
      <c r="AD208" s="19"/>
      <c r="AE208" s="711" t="s">
        <v>2461</v>
      </c>
      <c r="AF208" s="710" t="s">
        <v>2466</v>
      </c>
      <c r="AG208" s="715">
        <f ca="1">T207</f>
        <v>0</v>
      </c>
      <c r="AH208" s="711" t="s">
        <v>2468</v>
      </c>
      <c r="AI208" s="710" t="s">
        <v>3429</v>
      </c>
      <c r="AJ208" s="715">
        <f ca="1">IF(SUM(T208:V208)&gt;0,1/SUM(T208:V208),0)</f>
        <v>0</v>
      </c>
      <c r="AK208" s="207" t="s">
        <v>2464</v>
      </c>
      <c r="AL208" s="711" t="s">
        <v>2470</v>
      </c>
      <c r="AM208" s="710" t="s">
        <v>2485</v>
      </c>
      <c r="AN208" s="715" t="str">
        <f>IF(SUM(M194:M205)&gt;0,SUM(M194:M205),"")</f>
        <v/>
      </c>
      <c r="AO208" s="207" t="s">
        <v>2416</v>
      </c>
    </row>
    <row r="209" spans="1:41" ht="15" hidden="1">
      <c r="A209" s="275"/>
      <c r="B209" s="276" t="str">
        <f>IF(OR(C207&gt;0,D207&gt;0),AH209,IF(SUM(M194:M205)&gt;0,AL209,AE209))</f>
        <v xml:space="preserve"> </v>
      </c>
      <c r="G209" s="276"/>
      <c r="H209" s="521" t="str">
        <f>IF(OR(C207&gt;0,D207&gt;0),AI209,IF(SUM(M194:M205)&gt;0,AM209,AF209))</f>
        <v xml:space="preserve"> </v>
      </c>
      <c r="I209" s="513" t="str">
        <f>IF(OR(C207&gt;0,D207&gt;0),AJ209,IF(SUM(M194:M205)&gt;0,AN209,AG209))</f>
        <v xml:space="preserve"> </v>
      </c>
      <c r="J209" s="277" t="s">
        <v>809</v>
      </c>
      <c r="K209" s="1226"/>
      <c r="L209" s="1227"/>
      <c r="M209" s="1227"/>
      <c r="N209" s="1227"/>
      <c r="O209" s="1227"/>
      <c r="P209" s="1227"/>
      <c r="Q209" s="57"/>
      <c r="R209" s="57"/>
      <c r="S209" s="297" t="s">
        <v>3426</v>
      </c>
      <c r="T209" s="405"/>
      <c r="U209" s="405"/>
      <c r="V209" s="405">
        <f ca="1">IF(SUM(T208:V208)&gt;0,1/SUM(T208:V208),0)</f>
        <v>0</v>
      </c>
      <c r="AC209" s="19"/>
      <c r="AD209" s="19"/>
      <c r="AE209" s="711" t="s">
        <v>955</v>
      </c>
      <c r="AF209" s="710" t="s">
        <v>955</v>
      </c>
      <c r="AG209" s="715" t="s">
        <v>955</v>
      </c>
      <c r="AH209" s="711" t="s">
        <v>2465</v>
      </c>
      <c r="AI209" s="710" t="s">
        <v>3430</v>
      </c>
      <c r="AJ209" s="715">
        <f ca="1">AA207</f>
        <v>0</v>
      </c>
      <c r="AK209" s="207" t="s">
        <v>955</v>
      </c>
      <c r="AL209" s="711" t="s">
        <v>2469</v>
      </c>
      <c r="AM209" s="710" t="s">
        <v>2467</v>
      </c>
      <c r="AN209" s="715" t="str">
        <f>IF(SUM(M194:M205)&gt;0,SUM(I193:J206),"")</f>
        <v/>
      </c>
      <c r="AO209" s="207" t="s">
        <v>955</v>
      </c>
    </row>
    <row r="210" spans="1:41" ht="15" hidden="1">
      <c r="A210" s="280"/>
      <c r="B210" s="281" t="str">
        <f>IF(OR(C207&gt;0,D207&gt;0),AH210,IF(SUM(M194:M205)&gt;0,AL210,AE210))</f>
        <v>Wärmedurchgangskoeffizient</v>
      </c>
      <c r="C210" s="154"/>
      <c r="D210" s="154"/>
      <c r="E210" s="154"/>
      <c r="F210" s="154"/>
      <c r="G210" s="154"/>
      <c r="H210" s="522" t="str">
        <f>IF(OR(C207&gt;0,D207&gt;0),AI210,IF(SUM(M194:M205)&gt;0,AM210,AF210))</f>
        <v>U = 1 / R =</v>
      </c>
      <c r="I210" s="514" t="str">
        <f ca="1">IF(OR(C207&gt;0,D207&gt;0),AJ210,IF(SUM(M194:M205)&gt;0,AN210,AG210))</f>
        <v/>
      </c>
      <c r="J210" s="282" t="s">
        <v>815</v>
      </c>
      <c r="K210" s="46" t="str">
        <f>IF(OR(C207&gt;0,D207&gt;0),AK210,IF(SUM(M194:M205)&gt;0,AO210,""))</f>
        <v/>
      </c>
      <c r="L210" s="46"/>
      <c r="M210" s="46"/>
      <c r="N210" s="46"/>
      <c r="O210" s="46"/>
      <c r="P210" s="46"/>
      <c r="Q210" s="57"/>
      <c r="R210" s="57"/>
      <c r="T210" s="292"/>
      <c r="U210" s="57"/>
      <c r="V210" s="57"/>
      <c r="W210" s="57"/>
      <c r="X210" s="292"/>
      <c r="Y210" s="292"/>
      <c r="Z210" s="292"/>
      <c r="AC210" s="19"/>
      <c r="AD210" s="19"/>
      <c r="AE210" s="711" t="s">
        <v>813</v>
      </c>
      <c r="AF210" s="710" t="s">
        <v>2463</v>
      </c>
      <c r="AG210" s="715" t="str">
        <f ca="1">IF(AG208&gt;0,1/AG208,"")</f>
        <v/>
      </c>
      <c r="AH210" s="711" t="s">
        <v>813</v>
      </c>
      <c r="AI210" s="710" t="s">
        <v>3431</v>
      </c>
      <c r="AJ210" s="715">
        <f ca="1">IF((AJ208+AJ209)&gt;0,2/(AJ208+AJ209),0)</f>
        <v>0</v>
      </c>
      <c r="AK210" s="207" t="str">
        <f>"Hier: Rtot;upper / Rtot;lower = "&amp; IF(AND(I209&gt;0,(C207+D207)&gt;0),TEXT(I208/I209,"0,00")&amp;IF(I208/I209&lt;=1.5," &lt;= 1,5, d.h. zulässig"," &gt; 1,5, d.h. nicht zulässig"),"nicht relevant")</f>
        <v>Hier: Rtot;upper / Rtot;lower = nicht relevant</v>
      </c>
      <c r="AL210" s="711" t="s">
        <v>2462</v>
      </c>
      <c r="AM210" s="710" t="s">
        <v>2486</v>
      </c>
      <c r="AN210" s="715" t="str">
        <f>IF(SUM(M194:M205)&gt;0,IF(AN208*AN209&gt;0,1/AN208*LN(1+AN208/AN209),""),"")</f>
        <v/>
      </c>
      <c r="AO210" s="207" t="s">
        <v>2417</v>
      </c>
    </row>
    <row r="211" spans="1:41" s="18" customFormat="1" ht="13.8">
      <c r="A211" s="33"/>
      <c r="B211" s="33"/>
      <c r="C211" s="33"/>
      <c r="D211" s="33"/>
      <c r="E211" s="33"/>
      <c r="F211" s="33"/>
      <c r="G211" s="33"/>
      <c r="H211" s="33"/>
      <c r="I211" s="33"/>
      <c r="J211" s="33"/>
      <c r="K211" s="33"/>
      <c r="L211" s="33"/>
      <c r="M211" s="33"/>
      <c r="Q211" s="33"/>
      <c r="R211" s="33"/>
      <c r="AC211" s="19"/>
      <c r="AD211" s="19"/>
      <c r="AE211" s="187"/>
      <c r="AF211" s="187"/>
      <c r="AG211" s="187"/>
      <c r="AH211" s="187"/>
      <c r="AI211" s="187"/>
      <c r="AJ211" s="187"/>
      <c r="AK211" s="187"/>
      <c r="AL211" s="149"/>
      <c r="AM211" s="187"/>
      <c r="AN211" s="187"/>
      <c r="AO211" s="187"/>
    </row>
    <row r="212" spans="1:41" ht="13.8">
      <c r="A212" s="419" t="s">
        <v>819</v>
      </c>
      <c r="B212" s="1214"/>
      <c r="C212" s="1215"/>
      <c r="D212" s="1215"/>
      <c r="E212" s="1215"/>
      <c r="F212" s="1216"/>
      <c r="G212" s="1216"/>
      <c r="H212" s="1216"/>
      <c r="I212" s="523" t="str">
        <f ca="1">I232</f>
        <v/>
      </c>
      <c r="J212" s="737">
        <v>0.5</v>
      </c>
      <c r="K212" s="33"/>
      <c r="L212" s="87">
        <f>ROW(A213)</f>
        <v>213</v>
      </c>
      <c r="M212" s="87">
        <f>ROW(A232)</f>
        <v>232</v>
      </c>
      <c r="N212" s="515">
        <f>(ROW(A212)-ROW($A$36))/(ROW($A$58)-ROW($A$36))+1</f>
        <v>9</v>
      </c>
      <c r="O212" s="216"/>
      <c r="P212" s="216"/>
      <c r="Q212" s="87"/>
      <c r="R212" s="87"/>
      <c r="S212" s="297" t="s">
        <v>3414</v>
      </c>
      <c r="T212" s="294"/>
      <c r="U212" s="293"/>
      <c r="V212" s="293"/>
      <c r="X212" s="297" t="s">
        <v>3415</v>
      </c>
      <c r="Y212" s="297"/>
      <c r="Z212" s="297"/>
      <c r="AA212" s="294"/>
      <c r="AB212" s="298"/>
      <c r="AC212" s="19"/>
      <c r="AD212" s="19"/>
    </row>
    <row r="213" spans="1:41" ht="22.8" hidden="1">
      <c r="A213" s="310" t="s">
        <v>1125</v>
      </c>
      <c r="B213" s="365" t="s">
        <v>1115</v>
      </c>
      <c r="C213" s="1221" t="s">
        <v>3425</v>
      </c>
      <c r="D213" s="1222"/>
      <c r="E213" s="306" t="s">
        <v>1116</v>
      </c>
      <c r="F213" s="305"/>
      <c r="G213" s="305"/>
      <c r="H213" s="306" t="s">
        <v>1120</v>
      </c>
      <c r="I213" s="306" t="s">
        <v>1679</v>
      </c>
      <c r="J213" s="591" t="s">
        <v>1113</v>
      </c>
      <c r="K213" s="33"/>
      <c r="M213" s="57"/>
      <c r="N213" s="387"/>
      <c r="Q213" s="57"/>
      <c r="R213" s="57"/>
      <c r="S213" s="295" t="s">
        <v>3416</v>
      </c>
      <c r="T213" s="1167">
        <v>0</v>
      </c>
      <c r="U213" s="296">
        <v>1</v>
      </c>
      <c r="V213" s="296">
        <v>2</v>
      </c>
      <c r="X213" s="1169" t="s">
        <v>3413</v>
      </c>
      <c r="Y213" s="296"/>
      <c r="Z213" s="296"/>
      <c r="AA213" s="296" t="s">
        <v>3418</v>
      </c>
      <c r="AB213" s="298"/>
      <c r="AC213" s="19"/>
      <c r="AD213" s="19"/>
      <c r="AE213" s="272" t="s">
        <v>824</v>
      </c>
      <c r="AF213" s="197"/>
      <c r="AG213" s="197"/>
      <c r="AH213" s="195" t="s">
        <v>842</v>
      </c>
      <c r="AI213" s="199"/>
      <c r="AJ213" s="289" t="s">
        <v>1671</v>
      </c>
      <c r="AK213" s="289"/>
    </row>
    <row r="214" spans="1:41" ht="13.8" hidden="1">
      <c r="A214" s="312"/>
      <c r="B214" s="306" t="s">
        <v>807</v>
      </c>
      <c r="C214" s="306" t="s">
        <v>3424</v>
      </c>
      <c r="D214" s="306" t="s">
        <v>807</v>
      </c>
      <c r="E214" s="311" t="s">
        <v>806</v>
      </c>
      <c r="F214" s="770"/>
      <c r="G214" s="771"/>
      <c r="H214" s="306" t="s">
        <v>808</v>
      </c>
      <c r="I214" s="306" t="s">
        <v>1122</v>
      </c>
      <c r="J214" s="591" t="s">
        <v>809</v>
      </c>
      <c r="N214" s="387"/>
      <c r="S214" s="295" t="s">
        <v>1114</v>
      </c>
      <c r="T214" s="405">
        <f>1-U214-V214</f>
        <v>1</v>
      </c>
      <c r="U214" s="405">
        <f>IF(C229=0,0,SUMIF($C216:$C227,"H"&amp;U213,$D216:$D227)/C229)</f>
        <v>0</v>
      </c>
      <c r="V214" s="405">
        <f>IF(D229=0,0,SUMIF($C216:$C227,"H"&amp;V213,$D216:$D227)/D229)</f>
        <v>0</v>
      </c>
      <c r="X214" s="407" t="s">
        <v>3423</v>
      </c>
      <c r="Y214" s="407" t="s">
        <v>1910</v>
      </c>
      <c r="Z214" s="407"/>
      <c r="AA214" s="406" t="s">
        <v>3432</v>
      </c>
      <c r="AB214" s="299"/>
      <c r="AC214" s="19"/>
      <c r="AD214" s="19"/>
      <c r="AE214" s="197"/>
      <c r="AF214" s="197"/>
      <c r="AG214" s="197"/>
      <c r="AH214" s="199"/>
      <c r="AI214" s="199"/>
      <c r="AJ214" s="289" t="s">
        <v>1672</v>
      </c>
      <c r="AK214" s="289"/>
    </row>
    <row r="215" spans="1:41" ht="13.8" hidden="1">
      <c r="A215" s="279" t="s">
        <v>810</v>
      </c>
      <c r="B215" s="276"/>
      <c r="C215" s="276"/>
      <c r="D215" s="276"/>
      <c r="E215" s="1217"/>
      <c r="F215" s="1218"/>
      <c r="G215" s="1218"/>
      <c r="H215" s="276"/>
      <c r="I215" s="278"/>
      <c r="J215" s="315">
        <f>IF(E215&gt;0,VLOOKUP(E215,Tabellen!$W$5:$Y$12,2,FALSE),0)</f>
        <v>0</v>
      </c>
      <c r="N215" s="418" t="s">
        <v>821</v>
      </c>
      <c r="O215" s="418" t="s">
        <v>818</v>
      </c>
      <c r="P215" s="418" t="s">
        <v>820</v>
      </c>
      <c r="S215" s="295" t="s">
        <v>810</v>
      </c>
      <c r="T215" s="403">
        <f>IF(T214&gt;0,$J215,0)</f>
        <v>0</v>
      </c>
      <c r="U215" s="403">
        <f>IF(U214&gt;0,$J215,0)</f>
        <v>0</v>
      </c>
      <c r="V215" s="403">
        <f>IF(V214&gt;0,$J215,0)</f>
        <v>0</v>
      </c>
      <c r="X215" s="1169">
        <v>0</v>
      </c>
      <c r="Y215" s="1169">
        <v>1</v>
      </c>
      <c r="Z215" s="1169">
        <v>2</v>
      </c>
      <c r="AA215" s="403">
        <f>J215</f>
        <v>0</v>
      </c>
      <c r="AB215" s="299"/>
      <c r="AC215" s="19"/>
      <c r="AD215" s="19"/>
      <c r="AE215" s="197" t="s">
        <v>821</v>
      </c>
      <c r="AF215" s="197" t="s">
        <v>818</v>
      </c>
      <c r="AG215" s="197" t="s">
        <v>820</v>
      </c>
      <c r="AH215" s="199" t="s">
        <v>1678</v>
      </c>
      <c r="AI215" s="199" t="s">
        <v>818</v>
      </c>
    </row>
    <row r="216" spans="1:41" ht="14.4" hidden="1" thickBot="1">
      <c r="A216" s="285">
        <v>1</v>
      </c>
      <c r="B216" s="540"/>
      <c r="C216" s="736"/>
      <c r="D216" s="541"/>
      <c r="E216" s="1219" t="str">
        <f t="shared" ref="E216:E227" si="92">IF(AJ216&gt;1,N216&amp;": "&amp;INDEX(N216:P216,AJ216),"")</f>
        <v/>
      </c>
      <c r="F216" s="1219"/>
      <c r="G216" s="1220"/>
      <c r="H216" s="534">
        <f ca="1">CHOOSE(AK216,0,
VLOOKUP(P216,OFFSET(INDIRECT("Tabellen!"&amp;AG216),0,0,,2),2,FALSE),
VLOOKUP(P216,OFFSET(INDIRECT("Tabellen!"&amp;AG216),0,0,,3),3,FALSE),
VLOOKUP(P216,OFFSET(INDIRECT("Tabellen!"&amp;AG216),0,0,,3),3,FALSE),
RechLuftschichtRuhend(B216,MATCH(Bauteile!O216,Tabellen!$W$5:$W$12,0)),
VLOOKUP(O216,OFFSET(INDIRECT("Tabellen!"&amp;AF216),0,0,,7),7,FALSE))</f>
        <v>0</v>
      </c>
      <c r="I216" s="316">
        <f ca="1">IF(C216="keilförmig","siehe unten",IF(H216&gt;0,B216/1000/H216,0))</f>
        <v>0</v>
      </c>
      <c r="J216" s="304" t="str">
        <f>IF(AND(C216="keilförmig",(C229+D229&gt;0)),"keilförmig nur homogen",
IF(AND(C215="",C216&lt;&gt;"",B216&lt;&gt;B217),"Dicke " &amp; C216 &amp; " &lt;&gt; Dicke "&amp; C217,
IF(AND(C215&lt;&gt;"",C216&lt;&gt;"",RIGHT(C215,1)&lt;&gt;RIGHT(C216,1),B216&lt;&gt;B217),"Dicke " &amp; C216 &amp; " &lt;&gt; Dicke "&amp; C217,
IF(COUNTIF(b01_x,"=a1")&gt;1,"a1 nur einmal",
IF(COUNTIF(b01_x,"=b1")&gt;1,"b1 nur einmal",
IF(COUNTIF(b01_x,"=a2")&gt;1,"a2 nur einmal",
IF(COUNTIF(b01_x,"=b2")&gt;1,"b2 nur einmal","")))))))</f>
        <v/>
      </c>
      <c r="M216" s="490" t="str">
        <f>IF(C216="keilförmig",IF(H216&gt;0,B216/1000/H216,0),"")</f>
        <v/>
      </c>
      <c r="N216" s="546"/>
      <c r="O216" s="547"/>
      <c r="P216" s="548"/>
      <c r="S216" s="1168" t="str">
        <f>IF(AND(C216&lt;&gt;"keilförmig",C216&lt;&gt;""),VALUE(RIGHT(C216,1)),"")</f>
        <v/>
      </c>
      <c r="T216" s="404">
        <f ca="1">IFERROR(IF($H216=0,0,IF(OR($C216=0,LEFT($C216,1)="G"),$B216/1000/$H216,0)),0)</f>
        <v>0</v>
      </c>
      <c r="U216" s="404">
        <f ca="1">IFERROR(IF($H216=0,0,IF($C216="H"&amp;U$103,$B216/1000/$H216,IF($C216="G"&amp;U$103,0,$T216))),0)</f>
        <v>0</v>
      </c>
      <c r="V216" s="404">
        <f ca="1">IFERROR(IF($H216=0,0,IF($C216="H"&amp;V$103,$B216/1000/$H216,IF($C216="G"&amp;V$103,0,$T216))),0)</f>
        <v>0</v>
      </c>
      <c r="X216" s="319">
        <f ca="1">IFERROR(IF(T216&gt;0,$H216,0)*T214,0)</f>
        <v>0</v>
      </c>
      <c r="Y216" s="319">
        <f ca="1">IFERROR(IF(LEFT($C216,1)="H",0,IF(U216&gt;0,$H216,IF($H216=0,0,VLOOKUP("H"&amp;Y215,$C216:$H227,6))))*U$104,0)</f>
        <v>0</v>
      </c>
      <c r="Z216" s="319">
        <f ca="1">IFERROR(IF(LEFT($C216,1)="H",0,IF(V216&gt;0,$H216,IF($H216=0,0,VLOOKUP("H"&amp;Z$105,$C216:$H227,6))))*V214,0)</f>
        <v>0</v>
      </c>
      <c r="AA216" s="404">
        <f ca="1">IFERROR($B216/1000/SUM(X216:Z216),0)</f>
        <v>0</v>
      </c>
      <c r="AB216" s="299"/>
      <c r="AC216" s="19"/>
      <c r="AD216" s="19"/>
      <c r="AE216" s="286" t="str">
        <f>AdresseBezug(Tabellen!$O$5:$O$14)</f>
        <v>O5:O14</v>
      </c>
      <c r="AF216" s="286" t="e">
        <f>VLOOKUP(N216,Tabellen!$O$5:$R$57,3,FALSE)</f>
        <v>#N/A</v>
      </c>
      <c r="AG216" s="286" t="e">
        <f t="shared" ref="AG216:AG227" ca="1" si="93">VLOOKUP(O216,OFFSET(INDIRECT("Tabellen!"&amp;AF216),0,0,,2),2,FALSE)</f>
        <v>#N/A</v>
      </c>
      <c r="AH216" s="288" t="b">
        <f t="shared" ref="AH216:AH227" ca="1" si="94">ISERROR(VLOOKUP(O216,INDIRECT("Tabellen!"&amp;AF216),1,FALSE))</f>
        <v>1</v>
      </c>
      <c r="AI216" s="288" t="b">
        <f t="shared" ref="AI216:AI227" ca="1" si="95">ISERROR(VLOOKUP(P216,INDIRECT("Tabellen!"&amp;AG216),1,FALSE))</f>
        <v>1</v>
      </c>
      <c r="AJ216" s="287">
        <f>IF(ISERROR(VLOOKUP(N216,Tabellen!$O$5:$R$58,4,FALSE)),1,VLOOKUP(N216,Tabellen!$O$5:$R$58,4,FALSE))</f>
        <v>1</v>
      </c>
      <c r="AK216" s="287">
        <f>IF(ISERROR(VLOOKUP(N216,Tabellen!$O$5:$S$58,5,FALSE)),1,VLOOKUP(N216,Tabellen!$O$5:$S$58,5,FALSE))</f>
        <v>1</v>
      </c>
    </row>
    <row r="217" spans="1:41" ht="15" hidden="1" thickTop="1" thickBot="1">
      <c r="A217" s="285">
        <v>2</v>
      </c>
      <c r="B217" s="542"/>
      <c r="C217" s="736"/>
      <c r="D217" s="543"/>
      <c r="E217" s="1219" t="str">
        <f t="shared" si="92"/>
        <v/>
      </c>
      <c r="F217" s="1219"/>
      <c r="G217" s="1220"/>
      <c r="H217" s="534">
        <f ca="1">CHOOSE(AK217,0,
VLOOKUP(P217,OFFSET(INDIRECT("Tabellen!"&amp;AG217),0,0,,2),2,FALSE),
VLOOKUP(P217,OFFSET(INDIRECT("Tabellen!"&amp;AG217),0,0,,3),3,FALSE),
VLOOKUP(P217,OFFSET(INDIRECT("Tabellen!"&amp;AG217),0,0,,3),3,FALSE),
RechLuftschichtRuhend(B217,MATCH(Bauteile!O217,Tabellen!$W$5:$W$12,0)),
VLOOKUP(O217,OFFSET(INDIRECT("Tabellen!"&amp;AF217),0,0,,7),7,FALSE))</f>
        <v>0</v>
      </c>
      <c r="I217" s="316">
        <f t="shared" ref="I217:I227" ca="1" si="96">IF(C217="keilförmig","siehe unten",IF(H217&gt;0,B217/1000/H217,0))</f>
        <v>0</v>
      </c>
      <c r="J217" s="304" t="str">
        <f>IF(AND(C217="keilförmig",(C229+D229&gt;0)),"keilförmig nur homogen",
IF(AND(C216="",C217&lt;&gt;"",B217&lt;&gt;B218),"Dicke " &amp; C217 &amp; " &lt;&gt; Dicke "&amp; C218,
IF(AND(C216&lt;&gt;"",C217&lt;&gt;"",RIGHT(C216,1)&lt;&gt;RIGHT(C217,1),B217&lt;&gt;B218),"Dicke " &amp; C217 &amp; " &lt;&gt; Dicke "&amp; C218,
IF(COUNTIF(b01_x,"=a1")&gt;1,"a1 nur einmal",
IF(COUNTIF(b01_x,"=b1")&gt;1,"b1 nur einmal",
IF(COUNTIF(b01_x,"=a2")&gt;1,"a2 nur einmal",
IF(COUNTIF(b01_x,"=b2")&gt;1,"b2 nur einmal","")))))))</f>
        <v/>
      </c>
      <c r="M217" s="490" t="str">
        <f t="shared" ref="M217:M227" si="97">IF(C217="keilförmig",IF(H217&gt;0,B217/1000/H217,0),"")</f>
        <v/>
      </c>
      <c r="N217" s="549"/>
      <c r="O217" s="550"/>
      <c r="P217" s="551"/>
      <c r="S217" s="1168" t="str">
        <f t="shared" ref="S217:S227" si="98">IF(AND(C217&lt;&gt;"keilförmig",C217&lt;&gt;""),VALUE(RIGHT(C217,1)),"")</f>
        <v/>
      </c>
      <c r="T217" s="404">
        <f t="shared" ref="T217:T227" ca="1" si="99">IFERROR(IF($H217=0,0,IF(OR($C217=0,LEFT($C217,1)="G"),$B217/1000/$H217,0)),0)</f>
        <v>0</v>
      </c>
      <c r="U217" s="404">
        <f t="shared" ref="U217:V227" ca="1" si="100">IFERROR(IF($H217=0,0,IF($C217="H"&amp;U$103,$B217/1000/$H217,IF($C217="G"&amp;U$103,0,$T217))),0)</f>
        <v>0</v>
      </c>
      <c r="V217" s="404">
        <f t="shared" ca="1" si="100"/>
        <v>0</v>
      </c>
      <c r="X217" s="319">
        <f ca="1">IFERROR(IF(T217&gt;0,$H217,0)*T214,0)</f>
        <v>0</v>
      </c>
      <c r="Y217" s="319">
        <f ca="1">IFERROR(IF(LEFT($C217,1)="H",0,IF(U217&gt;0,$H217,IF($H217=0,0,VLOOKUP("H"&amp;Y215,$C216:$H227,6))))*U$104,0)</f>
        <v>0</v>
      </c>
      <c r="Z217" s="319">
        <f ca="1">IFERROR(IF(LEFT($C217,1)="H",0,IF(V217&gt;0,$H217,IF($H217=0,0,VLOOKUP("H"&amp;Z$105,$C216:$H227,6))))*V214,0)</f>
        <v>0</v>
      </c>
      <c r="AA217" s="404">
        <f t="shared" ref="AA217:AA227" ca="1" si="101">IFERROR($B217/1000/SUM(X217:Z217),0)</f>
        <v>0</v>
      </c>
      <c r="AB217" s="299"/>
      <c r="AC217" s="19"/>
      <c r="AD217" s="19"/>
      <c r="AE217" s="286" t="str">
        <f>AdresseBezug(Tabellen!$O$5:$O$14)</f>
        <v>O5:O14</v>
      </c>
      <c r="AF217" s="286" t="e">
        <f>VLOOKUP(N217,Tabellen!$O$5:$R$57,3,FALSE)</f>
        <v>#N/A</v>
      </c>
      <c r="AG217" s="286" t="e">
        <f t="shared" ca="1" si="93"/>
        <v>#N/A</v>
      </c>
      <c r="AH217" s="288" t="b">
        <f t="shared" ca="1" si="94"/>
        <v>1</v>
      </c>
      <c r="AI217" s="288" t="b">
        <f t="shared" ca="1" si="95"/>
        <v>1</v>
      </c>
      <c r="AJ217" s="287">
        <f>IF(ISERROR(VLOOKUP(N217,Tabellen!$O$5:$R$58,4,FALSE)),1,VLOOKUP(N217,Tabellen!$O$5:$R$58,4,FALSE))</f>
        <v>1</v>
      </c>
      <c r="AK217" s="287">
        <f>IF(ISERROR(VLOOKUP(N217,Tabellen!$O$5:$S$58,5,FALSE)),1,VLOOKUP(N217,Tabellen!$O$5:$S$58,5,FALSE))</f>
        <v>1</v>
      </c>
    </row>
    <row r="218" spans="1:41" ht="15" hidden="1" thickTop="1" thickBot="1">
      <c r="A218" s="285">
        <v>3</v>
      </c>
      <c r="B218" s="542"/>
      <c r="C218" s="736"/>
      <c r="D218" s="543"/>
      <c r="E218" s="1219" t="str">
        <f t="shared" si="92"/>
        <v/>
      </c>
      <c r="F218" s="1219"/>
      <c r="G218" s="1220"/>
      <c r="H218" s="534">
        <f ca="1">CHOOSE(AK218,0,
VLOOKUP(P218,OFFSET(INDIRECT("Tabellen!"&amp;AG218),0,0,,2),2,FALSE),
VLOOKUP(P218,OFFSET(INDIRECT("Tabellen!"&amp;AG218),0,0,,3),3,FALSE),
VLOOKUP(P218,OFFSET(INDIRECT("Tabellen!"&amp;AG218),0,0,,3),3,FALSE),
RechLuftschichtRuhend(B218,MATCH(Bauteile!O218,Tabellen!$W$5:$W$12,0)),
VLOOKUP(O218,OFFSET(INDIRECT("Tabellen!"&amp;AF218),0,0,,7),7,FALSE))</f>
        <v>0</v>
      </c>
      <c r="I218" s="316">
        <f t="shared" ca="1" si="96"/>
        <v>0</v>
      </c>
      <c r="J218" s="304" t="str">
        <f>IF(AND(C218="keilförmig",(C229+D229&gt;0)),"keilförmig nur homogen",
IF(AND(C217="",C218&lt;&gt;"",B218&lt;&gt;B219),"Dicke " &amp; C218 &amp; " &lt;&gt; Dicke "&amp; C219,
IF(AND(C217&lt;&gt;"",C218&lt;&gt;"",RIGHT(C217,1)&lt;&gt;RIGHT(C218,1),B218&lt;&gt;B219),"Dicke " &amp; C218 &amp; " &lt;&gt; Dicke "&amp; C219,
IF(COUNTIF(b01_x,"=a1")&gt;1,"a1 nur einmal",
IF(COUNTIF(b01_x,"=b1")&gt;1,"b1 nur einmal",
IF(COUNTIF(b01_x,"=a2")&gt;1,"a2 nur einmal",
IF(COUNTIF(b01_x,"=b2")&gt;1,"b2 nur einmal","")))))))</f>
        <v/>
      </c>
      <c r="M218" s="490" t="str">
        <f t="shared" si="97"/>
        <v/>
      </c>
      <c r="N218" s="546"/>
      <c r="O218" s="547"/>
      <c r="P218" s="548"/>
      <c r="S218" s="1168" t="str">
        <f t="shared" si="98"/>
        <v/>
      </c>
      <c r="T218" s="404">
        <f t="shared" ca="1" si="99"/>
        <v>0</v>
      </c>
      <c r="U218" s="404">
        <f t="shared" ca="1" si="100"/>
        <v>0</v>
      </c>
      <c r="V218" s="404">
        <f t="shared" ca="1" si="100"/>
        <v>0</v>
      </c>
      <c r="X218" s="319">
        <f ca="1">IFERROR(IF(T218&gt;0,$H218,0)*T214,0)</f>
        <v>0</v>
      </c>
      <c r="Y218" s="319">
        <f ca="1">IFERROR(IF(LEFT($C218,1)="H",0,IF(U218&gt;0,$H218,IF($H218=0,0,VLOOKUP("H"&amp;Y215,$C216:$H227,6))))*U$104,0)</f>
        <v>0</v>
      </c>
      <c r="Z218" s="319">
        <f ca="1">IFERROR(IF(LEFT($C218,1)="H",0,IF(V218&gt;0,$H218,IF($H218=0,0,VLOOKUP("H"&amp;Z$105,$C216:$H227,6))))*V214,0)</f>
        <v>0</v>
      </c>
      <c r="AA218" s="404">
        <f t="shared" ca="1" si="101"/>
        <v>0</v>
      </c>
      <c r="AB218" s="300"/>
      <c r="AC218" s="19"/>
      <c r="AD218" s="19"/>
      <c r="AE218" s="286" t="str">
        <f>AdresseBezug(Tabellen!$O$5:$O$14)</f>
        <v>O5:O14</v>
      </c>
      <c r="AF218" s="286" t="e">
        <f>VLOOKUP(N218,Tabellen!$O$5:$R$57,3,FALSE)</f>
        <v>#N/A</v>
      </c>
      <c r="AG218" s="286" t="e">
        <f t="shared" ca="1" si="93"/>
        <v>#N/A</v>
      </c>
      <c r="AH218" s="288" t="b">
        <f t="shared" ca="1" si="94"/>
        <v>1</v>
      </c>
      <c r="AI218" s="288" t="b">
        <f t="shared" ca="1" si="95"/>
        <v>1</v>
      </c>
      <c r="AJ218" s="287">
        <f>IF(ISERROR(VLOOKUP(N218,Tabellen!$O$5:$R$58,4,FALSE)),1,VLOOKUP(N218,Tabellen!$O$5:$R$58,4,FALSE))</f>
        <v>1</v>
      </c>
      <c r="AK218" s="287">
        <f>IF(ISERROR(VLOOKUP(N218,Tabellen!$O$5:$S$58,5,FALSE)),1,VLOOKUP(N218,Tabellen!$O$5:$S$58,5,FALSE))</f>
        <v>1</v>
      </c>
    </row>
    <row r="219" spans="1:41" ht="15" hidden="1" thickTop="1" thickBot="1">
      <c r="A219" s="285">
        <v>4</v>
      </c>
      <c r="B219" s="542"/>
      <c r="C219" s="736"/>
      <c r="D219" s="543"/>
      <c r="E219" s="1219" t="str">
        <f t="shared" si="92"/>
        <v/>
      </c>
      <c r="F219" s="1219"/>
      <c r="G219" s="1220"/>
      <c r="H219" s="534">
        <f ca="1">CHOOSE(AK219,0,
VLOOKUP(P219,OFFSET(INDIRECT("Tabellen!"&amp;AG219),0,0,,2),2,FALSE),
VLOOKUP(P219,OFFSET(INDIRECT("Tabellen!"&amp;AG219),0,0,,3),3,FALSE),
VLOOKUP(P219,OFFSET(INDIRECT("Tabellen!"&amp;AG219),0,0,,3),3,FALSE),
RechLuftschichtRuhend(B219,MATCH(Bauteile!O219,Tabellen!$W$5:$W$12,0)),
VLOOKUP(O219,OFFSET(INDIRECT("Tabellen!"&amp;AF219),0,0,,7),7,FALSE))</f>
        <v>0</v>
      </c>
      <c r="I219" s="316">
        <f t="shared" ca="1" si="96"/>
        <v>0</v>
      </c>
      <c r="J219" s="304" t="str">
        <f>IF(AND(C219="keilförmig",(C229+D229&gt;0)),"keilförmig nur homogen",
IF(AND(C218="",C219&lt;&gt;"",B219&lt;&gt;B220),"Dicke " &amp; C219 &amp; " &lt;&gt; Dicke "&amp; C220,
IF(AND(C218&lt;&gt;"",C219&lt;&gt;"",RIGHT(C218,1)&lt;&gt;RIGHT(C219,1),B219&lt;&gt;B220),"Dicke " &amp; C219 &amp; " &lt;&gt; Dicke "&amp; C220,
IF(COUNTIF(b01_x,"=a1")&gt;1,"a1 nur einmal",
IF(COUNTIF(b01_x,"=b1")&gt;1,"b1 nur einmal",
IF(COUNTIF(b01_x,"=a2")&gt;1,"a2 nur einmal",
IF(COUNTIF(b01_x,"=b2")&gt;1,"b2 nur einmal","")))))))</f>
        <v/>
      </c>
      <c r="M219" s="490" t="str">
        <f t="shared" si="97"/>
        <v/>
      </c>
      <c r="N219" s="549"/>
      <c r="O219" s="550"/>
      <c r="P219" s="551"/>
      <c r="S219" s="1168" t="str">
        <f t="shared" si="98"/>
        <v/>
      </c>
      <c r="T219" s="404">
        <f t="shared" ca="1" si="99"/>
        <v>0</v>
      </c>
      <c r="U219" s="404">
        <f t="shared" ca="1" si="100"/>
        <v>0</v>
      </c>
      <c r="V219" s="404">
        <f t="shared" ca="1" si="100"/>
        <v>0</v>
      </c>
      <c r="X219" s="319">
        <f ca="1">IFERROR(IF(T219&gt;0,$H219,0)*T214,0)</f>
        <v>0</v>
      </c>
      <c r="Y219" s="319">
        <f ca="1">IFERROR(IF(LEFT($C219,1)="H",0,IF(U219&gt;0,$H219,IF($H219=0,0,VLOOKUP("H"&amp;Y215,$C216:$H227,6))))*U$104,0)</f>
        <v>0</v>
      </c>
      <c r="Z219" s="319">
        <f ca="1">IFERROR(IF(LEFT($C219,1)="H",0,IF(V219&gt;0,$H219,IF($H219=0,0,VLOOKUP("H"&amp;Z$105,$C216:$H227,6))))*V214,0)</f>
        <v>0</v>
      </c>
      <c r="AA219" s="404">
        <f t="shared" ca="1" si="101"/>
        <v>0</v>
      </c>
      <c r="AB219" s="300"/>
      <c r="AC219" s="19"/>
      <c r="AD219" s="19"/>
      <c r="AE219" s="286" t="str">
        <f>AdresseBezug(Tabellen!$O$5:$O$14)</f>
        <v>O5:O14</v>
      </c>
      <c r="AF219" s="286" t="e">
        <f>VLOOKUP(N219,Tabellen!$O$5:$R$57,3,FALSE)</f>
        <v>#N/A</v>
      </c>
      <c r="AG219" s="286" t="e">
        <f t="shared" ca="1" si="93"/>
        <v>#N/A</v>
      </c>
      <c r="AH219" s="288" t="b">
        <f t="shared" ca="1" si="94"/>
        <v>1</v>
      </c>
      <c r="AI219" s="288" t="b">
        <f t="shared" ca="1" si="95"/>
        <v>1</v>
      </c>
      <c r="AJ219" s="287">
        <f>IF(ISERROR(VLOOKUP(N219,Tabellen!$O$5:$R$58,4,FALSE)),1,VLOOKUP(N219,Tabellen!$O$5:$R$58,4,FALSE))</f>
        <v>1</v>
      </c>
      <c r="AK219" s="287">
        <f>IF(ISERROR(VLOOKUP(N219,Tabellen!$O$5:$S$58,5,FALSE)),1,VLOOKUP(N219,Tabellen!$O$5:$S$58,5,FALSE))</f>
        <v>1</v>
      </c>
    </row>
    <row r="220" spans="1:41" ht="15" hidden="1" thickTop="1" thickBot="1">
      <c r="A220" s="285">
        <v>5</v>
      </c>
      <c r="B220" s="542"/>
      <c r="C220" s="736"/>
      <c r="D220" s="543"/>
      <c r="E220" s="1219" t="str">
        <f t="shared" si="92"/>
        <v/>
      </c>
      <c r="F220" s="1219"/>
      <c r="G220" s="1220"/>
      <c r="H220" s="534">
        <f ca="1">CHOOSE(AK220,0,
VLOOKUP(P220,OFFSET(INDIRECT("Tabellen!"&amp;AG220),0,0,,2),2,FALSE),
VLOOKUP(P220,OFFSET(INDIRECT("Tabellen!"&amp;AG220),0,0,,3),3,FALSE),
VLOOKUP(P220,OFFSET(INDIRECT("Tabellen!"&amp;AG220),0,0,,3),3,FALSE),
RechLuftschichtRuhend(B220,MATCH(Bauteile!O220,Tabellen!$W$5:$W$12,0)),
VLOOKUP(O220,OFFSET(INDIRECT("Tabellen!"&amp;AF220),0,0,,7),7,FALSE))</f>
        <v>0</v>
      </c>
      <c r="I220" s="316">
        <f t="shared" ca="1" si="96"/>
        <v>0</v>
      </c>
      <c r="J220" s="304" t="str">
        <f>IF(AND(C220="keilförmig",(C229+D229&gt;0)),"keilförmig nur homogen",
IF(AND(C219="",C220&lt;&gt;"",B220&lt;&gt;B221),"Dicke " &amp; C220 &amp; " &lt;&gt; Dicke "&amp; C221,
IF(AND(C219&lt;&gt;"",C220&lt;&gt;"",RIGHT(C219,1)&lt;&gt;RIGHT(C220,1),B220&lt;&gt;B221),"Dicke " &amp; C220 &amp; " &lt;&gt; Dicke "&amp; C221,
IF(COUNTIF(b01_x,"=a1")&gt;1,"a1 nur einmal",
IF(COUNTIF(b01_x,"=b1")&gt;1,"b1 nur einmal",
IF(COUNTIF(b01_x,"=a2")&gt;1,"a2 nur einmal",
IF(COUNTIF(b01_x,"=b2")&gt;1,"b2 nur einmal","")))))))</f>
        <v/>
      </c>
      <c r="M220" s="490" t="str">
        <f t="shared" si="97"/>
        <v/>
      </c>
      <c r="N220" s="549"/>
      <c r="O220" s="550"/>
      <c r="P220" s="551"/>
      <c r="S220" s="1168" t="str">
        <f t="shared" si="98"/>
        <v/>
      </c>
      <c r="T220" s="404">
        <f t="shared" ca="1" si="99"/>
        <v>0</v>
      </c>
      <c r="U220" s="404">
        <f t="shared" ca="1" si="100"/>
        <v>0</v>
      </c>
      <c r="V220" s="404">
        <f t="shared" ca="1" si="100"/>
        <v>0</v>
      </c>
      <c r="X220" s="319">
        <f ca="1">IFERROR(IF(T220&gt;0,$H220,0)*T214,0)</f>
        <v>0</v>
      </c>
      <c r="Y220" s="319">
        <f ca="1">IFERROR(IF(LEFT($C220,1)="H",0,IF(U220&gt;0,$H220,IF($H220=0,0,VLOOKUP("H"&amp;Y215,$C216:$H227,6))))*U$104,0)</f>
        <v>0</v>
      </c>
      <c r="Z220" s="319">
        <f ca="1">IFERROR(IF(LEFT($C220,1)="H",0,IF(V220&gt;0,$H220,IF($H220=0,0,VLOOKUP("H"&amp;Z$105,$C216:$H227,6))))*V214,0)</f>
        <v>0</v>
      </c>
      <c r="AA220" s="404">
        <f t="shared" ca="1" si="101"/>
        <v>0</v>
      </c>
      <c r="AB220" s="299"/>
      <c r="AC220" s="19"/>
      <c r="AD220" s="19"/>
      <c r="AE220" s="286" t="str">
        <f>AdresseBezug(Tabellen!$O$5:$O$14)</f>
        <v>O5:O14</v>
      </c>
      <c r="AF220" s="286" t="e">
        <f>VLOOKUP(N220,Tabellen!$O$5:$R$57,3,FALSE)</f>
        <v>#N/A</v>
      </c>
      <c r="AG220" s="286" t="e">
        <f t="shared" ca="1" si="93"/>
        <v>#N/A</v>
      </c>
      <c r="AH220" s="288" t="b">
        <f t="shared" ca="1" si="94"/>
        <v>1</v>
      </c>
      <c r="AI220" s="288" t="b">
        <f t="shared" ca="1" si="95"/>
        <v>1</v>
      </c>
      <c r="AJ220" s="287">
        <f>IF(ISERROR(VLOOKUP(N220,Tabellen!$O$5:$R$58,4,FALSE)),1,VLOOKUP(N220,Tabellen!$O$5:$R$58,4,FALSE))</f>
        <v>1</v>
      </c>
      <c r="AK220" s="287">
        <f>IF(ISERROR(VLOOKUP(N220,Tabellen!$O$5:$S$58,5,FALSE)),1,VLOOKUP(N220,Tabellen!$O$5:$S$58,5,FALSE))</f>
        <v>1</v>
      </c>
    </row>
    <row r="221" spans="1:41" ht="15" hidden="1" thickTop="1" thickBot="1">
      <c r="A221" s="285">
        <v>6</v>
      </c>
      <c r="B221" s="542"/>
      <c r="C221" s="736"/>
      <c r="D221" s="543"/>
      <c r="E221" s="1219" t="str">
        <f t="shared" si="92"/>
        <v/>
      </c>
      <c r="F221" s="1219"/>
      <c r="G221" s="1220"/>
      <c r="H221" s="534">
        <f ca="1">CHOOSE(AK221,0,
VLOOKUP(P221,OFFSET(INDIRECT("Tabellen!"&amp;AG221),0,0,,2),2,FALSE),
VLOOKUP(P221,OFFSET(INDIRECT("Tabellen!"&amp;AG221),0,0,,3),3,FALSE),
VLOOKUP(P221,OFFSET(INDIRECT("Tabellen!"&amp;AG221),0,0,,3),3,FALSE),
RechLuftschichtRuhend(B221,MATCH(Bauteile!O221,Tabellen!$W$5:$W$12,0)),
VLOOKUP(O221,OFFSET(INDIRECT("Tabellen!"&amp;AF221),0,0,,7),7,FALSE))</f>
        <v>0</v>
      </c>
      <c r="I221" s="316">
        <f t="shared" ca="1" si="96"/>
        <v>0</v>
      </c>
      <c r="J221" s="304" t="str">
        <f>IF(AND(C221="keilförmig",(C229+D229&gt;0)),"keilförmig nur homogen",
IF(AND(C220="",C221&lt;&gt;"",B221&lt;&gt;B222),"Dicke " &amp; C221 &amp; " &lt;&gt; Dicke "&amp; C222,
IF(AND(C220&lt;&gt;"",C221&lt;&gt;"",RIGHT(C220,1)&lt;&gt;RIGHT(C221,1),B221&lt;&gt;B222),"Dicke " &amp; C221 &amp; " &lt;&gt; Dicke "&amp; C222,
IF(COUNTIF(b01_x,"=a1")&gt;1,"a1 nur einmal",
IF(COUNTIF(b01_x,"=b1")&gt;1,"b1 nur einmal",
IF(COUNTIF(b01_x,"=a2")&gt;1,"a2 nur einmal",
IF(COUNTIF(b01_x,"=b2")&gt;1,"b2 nur einmal","")))))))</f>
        <v/>
      </c>
      <c r="M221" s="490" t="str">
        <f t="shared" si="97"/>
        <v/>
      </c>
      <c r="N221" s="549"/>
      <c r="O221" s="550"/>
      <c r="P221" s="551"/>
      <c r="S221" s="1168" t="str">
        <f t="shared" si="98"/>
        <v/>
      </c>
      <c r="T221" s="404">
        <f t="shared" ca="1" si="99"/>
        <v>0</v>
      </c>
      <c r="U221" s="404">
        <f t="shared" ca="1" si="100"/>
        <v>0</v>
      </c>
      <c r="V221" s="404">
        <f t="shared" ca="1" si="100"/>
        <v>0</v>
      </c>
      <c r="X221" s="319">
        <f ca="1">IFERROR(IF(T221&gt;0,$H221,0)*T214,0)</f>
        <v>0</v>
      </c>
      <c r="Y221" s="319">
        <f ca="1">IFERROR(IF(LEFT($C221,1)="H",0,IF(U221&gt;0,$H221,IF($H221=0,0,VLOOKUP("H"&amp;Y215,$C216:$H227,6))))*U$104,0)</f>
        <v>0</v>
      </c>
      <c r="Z221" s="319">
        <f ca="1">IFERROR(IF(LEFT($C221,1)="H",0,IF(V221&gt;0,$H221,IF($H221=0,0,VLOOKUP("H"&amp;Z$105,$C216:$H227,6))))*V214,0)</f>
        <v>0</v>
      </c>
      <c r="AA221" s="404">
        <f t="shared" ca="1" si="101"/>
        <v>0</v>
      </c>
      <c r="AB221" s="299"/>
      <c r="AC221" s="19"/>
      <c r="AD221" s="19"/>
      <c r="AE221" s="286" t="str">
        <f>AdresseBezug(Tabellen!$O$5:$O$14)</f>
        <v>O5:O14</v>
      </c>
      <c r="AF221" s="286" t="e">
        <f>VLOOKUP(N221,Tabellen!$O$5:$R$57,3,FALSE)</f>
        <v>#N/A</v>
      </c>
      <c r="AG221" s="286" t="e">
        <f t="shared" ca="1" si="93"/>
        <v>#N/A</v>
      </c>
      <c r="AH221" s="288" t="b">
        <f t="shared" ca="1" si="94"/>
        <v>1</v>
      </c>
      <c r="AI221" s="288" t="b">
        <f t="shared" ca="1" si="95"/>
        <v>1</v>
      </c>
      <c r="AJ221" s="287">
        <f>IF(ISERROR(VLOOKUP(N221,Tabellen!$O$5:$R$58,4,FALSE)),1,VLOOKUP(N221,Tabellen!$O$5:$R$58,4,FALSE))</f>
        <v>1</v>
      </c>
      <c r="AK221" s="287">
        <f>IF(ISERROR(VLOOKUP(N221,Tabellen!$O$5:$S$58,5,FALSE)),1,VLOOKUP(N221,Tabellen!$O$5:$S$58,5,FALSE))</f>
        <v>1</v>
      </c>
    </row>
    <row r="222" spans="1:41" ht="15" hidden="1" thickTop="1" thickBot="1">
      <c r="A222" s="285">
        <v>7</v>
      </c>
      <c r="B222" s="542"/>
      <c r="C222" s="736"/>
      <c r="D222" s="543"/>
      <c r="E222" s="1219" t="str">
        <f t="shared" si="92"/>
        <v/>
      </c>
      <c r="F222" s="1219"/>
      <c r="G222" s="1220"/>
      <c r="H222" s="534">
        <f ca="1">CHOOSE(AK222,0,
VLOOKUP(P222,OFFSET(INDIRECT("Tabellen!"&amp;AG222),0,0,,2),2,FALSE),
VLOOKUP(P222,OFFSET(INDIRECT("Tabellen!"&amp;AG222),0,0,,3),3,FALSE),
VLOOKUP(P222,OFFSET(INDIRECT("Tabellen!"&amp;AG222),0,0,,3),3,FALSE),
RechLuftschichtRuhend(B222,MATCH(Bauteile!O222,Tabellen!$W$5:$W$12,0)),
VLOOKUP(O222,OFFSET(INDIRECT("Tabellen!"&amp;AF222),0,0,,7),7,FALSE))</f>
        <v>0</v>
      </c>
      <c r="I222" s="316">
        <f t="shared" ca="1" si="96"/>
        <v>0</v>
      </c>
      <c r="J222" s="304" t="str">
        <f>IF(AND(C222="keilförmig",(C229+D229&gt;0)),"keilförmig nur homogen",
IF(AND(C221="",C222&lt;&gt;"",B222&lt;&gt;B223),"Dicke " &amp; C222 &amp; " &lt;&gt; Dicke "&amp; C223,
IF(AND(C221&lt;&gt;"",C222&lt;&gt;"",RIGHT(C221,1)&lt;&gt;RIGHT(C222,1),B222&lt;&gt;B223),"Dicke " &amp; C222 &amp; " &lt;&gt; Dicke "&amp; C223,
IF(COUNTIF(b01_x,"=a1")&gt;1,"a1 nur einmal",
IF(COUNTIF(b01_x,"=b1")&gt;1,"b1 nur einmal",
IF(COUNTIF(b01_x,"=a2")&gt;1,"a2 nur einmal",
IF(COUNTIF(b01_x,"=b2")&gt;1,"b2 nur einmal","")))))))</f>
        <v/>
      </c>
      <c r="M222" s="490" t="str">
        <f t="shared" si="97"/>
        <v/>
      </c>
      <c r="N222" s="549"/>
      <c r="O222" s="550"/>
      <c r="P222" s="551"/>
      <c r="S222" s="1168" t="str">
        <f t="shared" si="98"/>
        <v/>
      </c>
      <c r="T222" s="404">
        <f t="shared" ca="1" si="99"/>
        <v>0</v>
      </c>
      <c r="U222" s="404">
        <f t="shared" ca="1" si="100"/>
        <v>0</v>
      </c>
      <c r="V222" s="404">
        <f t="shared" ca="1" si="100"/>
        <v>0</v>
      </c>
      <c r="X222" s="319">
        <f ca="1">IFERROR(IF(T222&gt;0,$H222,0)*T214,0)</f>
        <v>0</v>
      </c>
      <c r="Y222" s="319">
        <f ca="1">IFERROR(IF(LEFT($C222,1)="H",0,IF(U222&gt;0,$H222,IF($H222=0,0,VLOOKUP("H"&amp;Y215,$C216:$H227,6))))*U$104,0)</f>
        <v>0</v>
      </c>
      <c r="Z222" s="319">
        <f ca="1">IFERROR(IF(LEFT($C222,1)="H",0,IF(V222&gt;0,$H222,IF($H222=0,0,VLOOKUP("H"&amp;Z$105,$C216:$H227,6))))*V214,0)</f>
        <v>0</v>
      </c>
      <c r="AA222" s="404">
        <f t="shared" ca="1" si="101"/>
        <v>0</v>
      </c>
      <c r="AB222" s="299"/>
      <c r="AC222" s="19"/>
      <c r="AD222" s="19"/>
      <c r="AE222" s="286" t="str">
        <f>AdresseBezug(Tabellen!$O$5:$O$14)</f>
        <v>O5:O14</v>
      </c>
      <c r="AF222" s="286" t="e">
        <f>VLOOKUP(N222,Tabellen!$O$5:$R$57,3,FALSE)</f>
        <v>#N/A</v>
      </c>
      <c r="AG222" s="286" t="e">
        <f t="shared" ca="1" si="93"/>
        <v>#N/A</v>
      </c>
      <c r="AH222" s="288" t="b">
        <f t="shared" ca="1" si="94"/>
        <v>1</v>
      </c>
      <c r="AI222" s="288" t="b">
        <f t="shared" ca="1" si="95"/>
        <v>1</v>
      </c>
      <c r="AJ222" s="287">
        <f>IF(ISERROR(VLOOKUP(N222,Tabellen!$O$5:$R$58,4,FALSE)),1,VLOOKUP(N222,Tabellen!$O$5:$R$58,4,FALSE))</f>
        <v>1</v>
      </c>
      <c r="AK222" s="287">
        <f>IF(ISERROR(VLOOKUP(N222,Tabellen!$O$5:$S$58,5,FALSE)),1,VLOOKUP(N222,Tabellen!$O$5:$S$58,5,FALSE))</f>
        <v>1</v>
      </c>
    </row>
    <row r="223" spans="1:41" ht="15" hidden="1" thickTop="1" thickBot="1">
      <c r="A223" s="285">
        <v>8</v>
      </c>
      <c r="B223" s="544"/>
      <c r="C223" s="736"/>
      <c r="D223" s="545"/>
      <c r="E223" s="1219" t="str">
        <f t="shared" si="92"/>
        <v/>
      </c>
      <c r="F223" s="1219"/>
      <c r="G223" s="1220"/>
      <c r="H223" s="534">
        <f ca="1">CHOOSE(AK223,0,
VLOOKUP(P223,OFFSET(INDIRECT("Tabellen!"&amp;AG223),0,0,,2),2,FALSE),
VLOOKUP(P223,OFFSET(INDIRECT("Tabellen!"&amp;AG223),0,0,,3),3,FALSE),
VLOOKUP(P223,OFFSET(INDIRECT("Tabellen!"&amp;AG223),0,0,,3),3,FALSE),
RechLuftschichtRuhend(B223,MATCH(Bauteile!O223,Tabellen!$W$5:$W$12,0)),
VLOOKUP(O223,OFFSET(INDIRECT("Tabellen!"&amp;AF223),0,0,,7),7,FALSE))</f>
        <v>0</v>
      </c>
      <c r="I223" s="316">
        <f t="shared" ca="1" si="96"/>
        <v>0</v>
      </c>
      <c r="J223" s="304" t="str">
        <f>IF(AND(C223="keilförmig",(C229+D229&gt;0)),"keilförmig nur homogen",
IF(AND(C222="",C223&lt;&gt;"",B223&lt;&gt;B224),"Dicke " &amp; C223 &amp; " &lt;&gt; Dicke "&amp; C224,
IF(AND(C222&lt;&gt;"",C223&lt;&gt;"",RIGHT(C222,1)&lt;&gt;RIGHT(C223,1),B223&lt;&gt;B224),"Dicke " &amp; C223 &amp; " &lt;&gt; Dicke "&amp; C224,
IF(COUNTIF(b01_x,"=a1")&gt;1,"a1 nur einmal",
IF(COUNTIF(b01_x,"=b1")&gt;1,"b1 nur einmal",
IF(COUNTIF(b01_x,"=a2")&gt;1,"a2 nur einmal",
IF(COUNTIF(b01_x,"=b2")&gt;1,"b2 nur einmal","")))))))</f>
        <v/>
      </c>
      <c r="M223" s="490" t="str">
        <f t="shared" si="97"/>
        <v/>
      </c>
      <c r="N223" s="552"/>
      <c r="O223" s="553"/>
      <c r="P223" s="554"/>
      <c r="S223" s="1168" t="str">
        <f t="shared" si="98"/>
        <v/>
      </c>
      <c r="T223" s="404">
        <f t="shared" ca="1" si="99"/>
        <v>0</v>
      </c>
      <c r="U223" s="404">
        <f t="shared" ca="1" si="100"/>
        <v>0</v>
      </c>
      <c r="V223" s="404">
        <f t="shared" ca="1" si="100"/>
        <v>0</v>
      </c>
      <c r="X223" s="319">
        <f ca="1">IFERROR(IF(T223&gt;0,$H223,0)*T214,0)</f>
        <v>0</v>
      </c>
      <c r="Y223" s="319">
        <f ca="1">IFERROR(IF(LEFT($C223,1)="H",0,IF(U223&gt;0,$H223,IF($H223=0,0,VLOOKUP("H"&amp;Y215,$C216:$H227,6))))*U$104,0)</f>
        <v>0</v>
      </c>
      <c r="Z223" s="319">
        <f ca="1">IFERROR(IF(LEFT($C223,1)="H",0,IF(V223&gt;0,$H223,IF($H223=0,0,VLOOKUP("H"&amp;Z$105,$C216:$H227,6))))*V214,0)</f>
        <v>0</v>
      </c>
      <c r="AA223" s="404">
        <f t="shared" ca="1" si="101"/>
        <v>0</v>
      </c>
      <c r="AB223" s="299"/>
      <c r="AC223" s="19"/>
      <c r="AD223" s="19"/>
      <c r="AE223" s="286" t="str">
        <f>AdresseBezug(Tabellen!$O$5:$O$14)</f>
        <v>O5:O14</v>
      </c>
      <c r="AF223" s="286" t="e">
        <f>VLOOKUP(N223,Tabellen!$O$5:$R$57,3,FALSE)</f>
        <v>#N/A</v>
      </c>
      <c r="AG223" s="286" t="e">
        <f t="shared" ca="1" si="93"/>
        <v>#N/A</v>
      </c>
      <c r="AH223" s="288" t="b">
        <f t="shared" ca="1" si="94"/>
        <v>1</v>
      </c>
      <c r="AI223" s="288" t="b">
        <f t="shared" ca="1" si="95"/>
        <v>1</v>
      </c>
      <c r="AJ223" s="287">
        <f>IF(ISERROR(VLOOKUP(N223,Tabellen!$O$5:$R$58,4,FALSE)),1,VLOOKUP(N223,Tabellen!$O$5:$R$58,4,FALSE))</f>
        <v>1</v>
      </c>
      <c r="AK223" s="287">
        <f>IF(ISERROR(VLOOKUP(N223,Tabellen!$O$5:$S$58,5,FALSE)),1,VLOOKUP(N223,Tabellen!$O$5:$S$58,5,FALSE))</f>
        <v>1</v>
      </c>
    </row>
    <row r="224" spans="1:41" ht="15" hidden="1" thickTop="1" thickBot="1">
      <c r="A224" s="285">
        <v>9</v>
      </c>
      <c r="B224" s="544"/>
      <c r="C224" s="736"/>
      <c r="D224" s="545"/>
      <c r="E224" s="1219" t="str">
        <f t="shared" si="92"/>
        <v/>
      </c>
      <c r="F224" s="1219"/>
      <c r="G224" s="1220"/>
      <c r="H224" s="534">
        <f ca="1">CHOOSE(AK224,0,
VLOOKUP(P224,OFFSET(INDIRECT("Tabellen!"&amp;AG224),0,0,,2),2,FALSE),
VLOOKUP(P224,OFFSET(INDIRECT("Tabellen!"&amp;AG224),0,0,,3),3,FALSE),
VLOOKUP(P224,OFFSET(INDIRECT("Tabellen!"&amp;AG224),0,0,,3),3,FALSE),
RechLuftschichtRuhend(B224,MATCH(Bauteile!O224,Tabellen!$W$5:$W$12,0)),
VLOOKUP(O224,OFFSET(INDIRECT("Tabellen!"&amp;AF224),0,0,,7),7,FALSE))</f>
        <v>0</v>
      </c>
      <c r="I224" s="316">
        <f t="shared" ca="1" si="96"/>
        <v>0</v>
      </c>
      <c r="J224" s="304" t="str">
        <f>IF(AND(C224="keilförmig",(C229+D229&gt;0)),"keilförmig nur homogen",
IF(AND(C223="",C224&lt;&gt;"",B224&lt;&gt;B225),"Dicke " &amp; C224 &amp; " &lt;&gt; Dicke "&amp; C225,
IF(AND(C223&lt;&gt;"",C224&lt;&gt;"",RIGHT(C223,1)&lt;&gt;RIGHT(C224,1),B224&lt;&gt;B225),"Dicke " &amp; C224 &amp; " &lt;&gt; Dicke "&amp; C225,
IF(COUNTIF(b01_x,"=a1")&gt;1,"a1 nur einmal",
IF(COUNTIF(b01_x,"=b1")&gt;1,"b1 nur einmal",
IF(COUNTIF(b01_x,"=a2")&gt;1,"a2 nur einmal",
IF(COUNTIF(b01_x,"=b2")&gt;1,"b2 nur einmal","")))))))</f>
        <v/>
      </c>
      <c r="M224" s="490" t="str">
        <f t="shared" si="97"/>
        <v/>
      </c>
      <c r="N224" s="552"/>
      <c r="O224" s="553"/>
      <c r="P224" s="554"/>
      <c r="S224" s="1168" t="str">
        <f t="shared" si="98"/>
        <v/>
      </c>
      <c r="T224" s="404">
        <f t="shared" ca="1" si="99"/>
        <v>0</v>
      </c>
      <c r="U224" s="404">
        <f t="shared" ca="1" si="100"/>
        <v>0</v>
      </c>
      <c r="V224" s="404">
        <f t="shared" ca="1" si="100"/>
        <v>0</v>
      </c>
      <c r="X224" s="319">
        <f ca="1">IFERROR(IF(T224&gt;0,$H224,0)*T214,0)</f>
        <v>0</v>
      </c>
      <c r="Y224" s="319">
        <f ca="1">IFERROR(IF(LEFT($C224,1)="H",0,IF(U224&gt;0,$H224,IF($H224=0,0,VLOOKUP("H"&amp;Y215,$C216:$H227,6))))*U$104,0)</f>
        <v>0</v>
      </c>
      <c r="Z224" s="319">
        <f ca="1">IFERROR(IF(LEFT($C224,1)="H",0,IF(V224&gt;0,$H224,IF($H224=0,0,VLOOKUP("H"&amp;Z$105,$C216:$H227,6))))*V214,0)</f>
        <v>0</v>
      </c>
      <c r="AA224" s="404">
        <f t="shared" ca="1" si="101"/>
        <v>0</v>
      </c>
      <c r="AB224" s="299"/>
      <c r="AC224" s="19"/>
      <c r="AD224" s="19"/>
      <c r="AE224" s="286" t="str">
        <f>AdresseBezug(Tabellen!$O$5:$O$14)</f>
        <v>O5:O14</v>
      </c>
      <c r="AF224" s="286" t="e">
        <f>VLOOKUP(N224,Tabellen!$O$5:$R$57,3,FALSE)</f>
        <v>#N/A</v>
      </c>
      <c r="AG224" s="286" t="e">
        <f t="shared" ca="1" si="93"/>
        <v>#N/A</v>
      </c>
      <c r="AH224" s="288" t="b">
        <f t="shared" ca="1" si="94"/>
        <v>1</v>
      </c>
      <c r="AI224" s="288" t="b">
        <f t="shared" ca="1" si="95"/>
        <v>1</v>
      </c>
      <c r="AJ224" s="287">
        <f>IF(ISERROR(VLOOKUP(N224,Tabellen!$O$5:$R$58,4,FALSE)),1,VLOOKUP(N224,Tabellen!$O$5:$R$58,4,FALSE))</f>
        <v>1</v>
      </c>
      <c r="AK224" s="287">
        <f>IF(ISERROR(VLOOKUP(N224,Tabellen!$O$5:$S$58,5,FALSE)),1,VLOOKUP(N224,Tabellen!$O$5:$S$58,5,FALSE))</f>
        <v>1</v>
      </c>
    </row>
    <row r="225" spans="1:41" ht="15" hidden="1" thickTop="1" thickBot="1">
      <c r="A225" s="285">
        <v>10</v>
      </c>
      <c r="B225" s="544"/>
      <c r="C225" s="736"/>
      <c r="D225" s="545"/>
      <c r="E225" s="1219" t="str">
        <f t="shared" si="92"/>
        <v/>
      </c>
      <c r="F225" s="1219"/>
      <c r="G225" s="1220"/>
      <c r="H225" s="534">
        <f ca="1">CHOOSE(AK225,0,
VLOOKUP(P225,OFFSET(INDIRECT("Tabellen!"&amp;AG225),0,0,,2),2,FALSE),
VLOOKUP(P225,OFFSET(INDIRECT("Tabellen!"&amp;AG225),0,0,,3),3,FALSE),
VLOOKUP(P225,OFFSET(INDIRECT("Tabellen!"&amp;AG225),0,0,,3),3,FALSE),
RechLuftschichtRuhend(B225,MATCH(Bauteile!O225,Tabellen!$W$5:$W$12,0)),
VLOOKUP(O225,OFFSET(INDIRECT("Tabellen!"&amp;AF225),0,0,,7),7,FALSE))</f>
        <v>0</v>
      </c>
      <c r="I225" s="316">
        <f t="shared" ca="1" si="96"/>
        <v>0</v>
      </c>
      <c r="J225" s="304" t="str">
        <f>IF(AND(C225="keilförmig",(C229+D229&gt;0)),"keilförmig nur homogen",
IF(AND(C224="",C225&lt;&gt;"",B225&lt;&gt;B226),"Dicke " &amp; C225 &amp; " &lt;&gt; Dicke "&amp; C226,
IF(AND(C224&lt;&gt;"",C225&lt;&gt;"",RIGHT(C224,1)&lt;&gt;RIGHT(C225,1),B225&lt;&gt;B226),"Dicke " &amp; C225 &amp; " &lt;&gt; Dicke "&amp; C226,
IF(COUNTIF(b01_x,"=a1")&gt;1,"a1 nur einmal",
IF(COUNTIF(b01_x,"=b1")&gt;1,"b1 nur einmal",
IF(COUNTIF(b01_x,"=a2")&gt;1,"a2 nur einmal",
IF(COUNTIF(b01_x,"=b2")&gt;1,"b2 nur einmal","")))))))</f>
        <v/>
      </c>
      <c r="M225" s="490" t="str">
        <f t="shared" si="97"/>
        <v/>
      </c>
      <c r="N225" s="552"/>
      <c r="O225" s="553"/>
      <c r="P225" s="554"/>
      <c r="S225" s="1168" t="str">
        <f t="shared" si="98"/>
        <v/>
      </c>
      <c r="T225" s="404">
        <f t="shared" ca="1" si="99"/>
        <v>0</v>
      </c>
      <c r="U225" s="404">
        <f t="shared" ca="1" si="100"/>
        <v>0</v>
      </c>
      <c r="V225" s="404">
        <f t="shared" ca="1" si="100"/>
        <v>0</v>
      </c>
      <c r="X225" s="319">
        <f ca="1">IFERROR(IF(T225&gt;0,$H225,0)*T214,0)</f>
        <v>0</v>
      </c>
      <c r="Y225" s="319">
        <f ca="1">IFERROR(IF(LEFT($C225,1)="H",0,IF(U225&gt;0,$H225,IF($H225=0,0,VLOOKUP("H"&amp;Y215,$C216:$H227,6))))*U$104,0)</f>
        <v>0</v>
      </c>
      <c r="Z225" s="319">
        <f ca="1">IFERROR(IF(LEFT($C225,1)="H",0,IF(V225&gt;0,$H225,IF($H225=0,0,VLOOKUP("H"&amp;Z$105,$C216:$H227,6))))*V214,0)</f>
        <v>0</v>
      </c>
      <c r="AA225" s="404">
        <f t="shared" ca="1" si="101"/>
        <v>0</v>
      </c>
      <c r="AB225" s="299"/>
      <c r="AC225" s="19"/>
      <c r="AD225" s="19"/>
      <c r="AE225" s="286" t="str">
        <f>AdresseBezug(Tabellen!$O$5:$O$14)</f>
        <v>O5:O14</v>
      </c>
      <c r="AF225" s="286" t="e">
        <f>VLOOKUP(N225,Tabellen!$O$5:$R$57,3,FALSE)</f>
        <v>#N/A</v>
      </c>
      <c r="AG225" s="286" t="e">
        <f t="shared" ca="1" si="93"/>
        <v>#N/A</v>
      </c>
      <c r="AH225" s="288" t="b">
        <f t="shared" ca="1" si="94"/>
        <v>1</v>
      </c>
      <c r="AI225" s="288" t="b">
        <f t="shared" ca="1" si="95"/>
        <v>1</v>
      </c>
      <c r="AJ225" s="287">
        <f>IF(ISERROR(VLOOKUP(N225,Tabellen!$O$5:$R$58,4,FALSE)),1,VLOOKUP(N225,Tabellen!$O$5:$R$58,4,FALSE))</f>
        <v>1</v>
      </c>
      <c r="AK225" s="287">
        <f>IF(ISERROR(VLOOKUP(N225,Tabellen!$O$5:$S$58,5,FALSE)),1,VLOOKUP(N225,Tabellen!$O$5:$S$58,5,FALSE))</f>
        <v>1</v>
      </c>
    </row>
    <row r="226" spans="1:41" ht="15" hidden="1" thickTop="1" thickBot="1">
      <c r="A226" s="285">
        <v>11</v>
      </c>
      <c r="B226" s="544"/>
      <c r="C226" s="736"/>
      <c r="D226" s="545"/>
      <c r="E226" s="1219" t="str">
        <f t="shared" si="92"/>
        <v/>
      </c>
      <c r="F226" s="1219"/>
      <c r="G226" s="1220"/>
      <c r="H226" s="534">
        <f ca="1">CHOOSE(AK226,0,
VLOOKUP(P226,OFFSET(INDIRECT("Tabellen!"&amp;AG226),0,0,,2),2,FALSE),
VLOOKUP(P226,OFFSET(INDIRECT("Tabellen!"&amp;AG226),0,0,,3),3,FALSE),
VLOOKUP(P226,OFFSET(INDIRECT("Tabellen!"&amp;AG226),0,0,,3),3,FALSE),
RechLuftschichtRuhend(B226,MATCH(Bauteile!O226,Tabellen!$W$5:$W$12,0)),
VLOOKUP(O226,OFFSET(INDIRECT("Tabellen!"&amp;AF226),0,0,,7),7,FALSE))</f>
        <v>0</v>
      </c>
      <c r="I226" s="316">
        <f t="shared" ca="1" si="96"/>
        <v>0</v>
      </c>
      <c r="J226" s="304" t="str">
        <f>IF(AND(C226="keilförmig",(C229+D229&gt;0)),"keilförmig nur homogen",
IF(AND(C225="",C226&lt;&gt;"",B226&lt;&gt;B227),"Dicke " &amp; C226 &amp; " &lt;&gt; Dicke "&amp; C227,
IF(AND(C225&lt;&gt;"",C226&lt;&gt;"",RIGHT(C225,1)&lt;&gt;RIGHT(C226,1),B226&lt;&gt;B227),"Dicke " &amp; C226 &amp; " &lt;&gt; Dicke "&amp; C227,
IF(COUNTIF(b01_x,"=a1")&gt;1,"a1 nur einmal",
IF(COUNTIF(b01_x,"=b1")&gt;1,"b1 nur einmal",
IF(COUNTIF(b01_x,"=a2")&gt;1,"a2 nur einmal",
IF(COUNTIF(b01_x,"=b2")&gt;1,"b2 nur einmal","")))))))</f>
        <v/>
      </c>
      <c r="M226" s="490" t="str">
        <f t="shared" si="97"/>
        <v/>
      </c>
      <c r="N226" s="552"/>
      <c r="O226" s="553"/>
      <c r="P226" s="554"/>
      <c r="S226" s="1168" t="str">
        <f t="shared" si="98"/>
        <v/>
      </c>
      <c r="T226" s="404">
        <f t="shared" ca="1" si="99"/>
        <v>0</v>
      </c>
      <c r="U226" s="404">
        <f t="shared" ca="1" si="100"/>
        <v>0</v>
      </c>
      <c r="V226" s="404">
        <f t="shared" ca="1" si="100"/>
        <v>0</v>
      </c>
      <c r="X226" s="319">
        <f ca="1">IFERROR(IF(T226&gt;0,$H226,0)*T214,0)</f>
        <v>0</v>
      </c>
      <c r="Y226" s="319">
        <f ca="1">IFERROR(IF(LEFT($C226,1)="H",0,IF(U226&gt;0,$H226,IF($H226=0,0,VLOOKUP("H"&amp;Y215,$C216:$H227,6))))*U$104,0)</f>
        <v>0</v>
      </c>
      <c r="Z226" s="319">
        <f ca="1">IFERROR(IF(LEFT($C226,1)="H",0,IF(V226&gt;0,$H226,IF($H226=0,0,VLOOKUP("H"&amp;Z$105,$C216:$H227,6))))*V214,0)</f>
        <v>0</v>
      </c>
      <c r="AA226" s="404">
        <f t="shared" ca="1" si="101"/>
        <v>0</v>
      </c>
      <c r="AB226" s="299"/>
      <c r="AC226" s="19"/>
      <c r="AD226" s="19"/>
      <c r="AE226" s="286" t="str">
        <f>AdresseBezug(Tabellen!$O$5:$O$14)</f>
        <v>O5:O14</v>
      </c>
      <c r="AF226" s="286" t="e">
        <f>VLOOKUP(N226,Tabellen!$O$5:$R$57,3,FALSE)</f>
        <v>#N/A</v>
      </c>
      <c r="AG226" s="286" t="e">
        <f t="shared" ca="1" si="93"/>
        <v>#N/A</v>
      </c>
      <c r="AH226" s="288" t="b">
        <f t="shared" ca="1" si="94"/>
        <v>1</v>
      </c>
      <c r="AI226" s="288" t="b">
        <f t="shared" ca="1" si="95"/>
        <v>1</v>
      </c>
      <c r="AJ226" s="287">
        <f>IF(ISERROR(VLOOKUP(N226,Tabellen!$O$5:$R$58,4,FALSE)),1,VLOOKUP(N226,Tabellen!$O$5:$R$58,4,FALSE))</f>
        <v>1</v>
      </c>
      <c r="AK226" s="287">
        <f>IF(ISERROR(VLOOKUP(N226,Tabellen!$O$5:$S$58,5,FALSE)),1,VLOOKUP(N226,Tabellen!$O$5:$S$58,5,FALSE))</f>
        <v>1</v>
      </c>
    </row>
    <row r="227" spans="1:41" ht="15" hidden="1" thickTop="1" thickBot="1">
      <c r="A227" s="285">
        <v>12</v>
      </c>
      <c r="B227" s="544"/>
      <c r="C227" s="736"/>
      <c r="D227" s="545"/>
      <c r="E227" s="302" t="str">
        <f t="shared" si="92"/>
        <v/>
      </c>
      <c r="F227" s="302"/>
      <c r="G227" s="303"/>
      <c r="H227" s="534">
        <f ca="1">CHOOSE(AK227,0,
VLOOKUP(P227,OFFSET(INDIRECT("Tabellen!"&amp;AG227),0,0,,2),2,FALSE),
VLOOKUP(P227,OFFSET(INDIRECT("Tabellen!"&amp;AG227),0,0,,3),3,FALSE),
VLOOKUP(P227,OFFSET(INDIRECT("Tabellen!"&amp;AG227),0,0,,3),3,FALSE),
RechLuftschichtRuhend(B227,MATCH(Bauteile!O227,Tabellen!$W$5:$W$12,0)),
VLOOKUP(O227,OFFSET(INDIRECT("Tabellen!"&amp;AF227),0,0,,7),7,FALSE))</f>
        <v>0</v>
      </c>
      <c r="I227" s="316">
        <f t="shared" ca="1" si="96"/>
        <v>0</v>
      </c>
      <c r="J227" s="304" t="str">
        <f>IF(AND(C227="keilförmig",(C229+D229&gt;0)),"keilförmig nur homogen",
IF(AND(C226="",C227&lt;&gt;"",B227&lt;&gt;B228),"Dicke " &amp; C227 &amp; " &lt;&gt; Dicke "&amp; C228,
IF(AND(C226&lt;&gt;"",C227&lt;&gt;"",RIGHT(C226,1)&lt;&gt;RIGHT(C227,1),B227&lt;&gt;B228),"Dicke " &amp; C227 &amp; " &lt;&gt; Dicke "&amp; C228,
IF(COUNTIF(b01_x,"=a1")&gt;1,"a1 nur einmal",
IF(COUNTIF(b01_x,"=b1")&gt;1,"b1 nur einmal",
IF(COUNTIF(b01_x,"=a2")&gt;1,"a2 nur einmal",
IF(COUNTIF(b01_x,"=b2")&gt;1,"b2 nur einmal","")))))))</f>
        <v/>
      </c>
      <c r="M227" s="490" t="str">
        <f t="shared" si="97"/>
        <v/>
      </c>
      <c r="N227" s="552"/>
      <c r="O227" s="553"/>
      <c r="P227" s="554"/>
      <c r="S227" s="1168" t="str">
        <f t="shared" si="98"/>
        <v/>
      </c>
      <c r="T227" s="404">
        <f t="shared" ca="1" si="99"/>
        <v>0</v>
      </c>
      <c r="U227" s="404">
        <f t="shared" ca="1" si="100"/>
        <v>0</v>
      </c>
      <c r="V227" s="404">
        <f t="shared" ca="1" si="100"/>
        <v>0</v>
      </c>
      <c r="X227" s="319">
        <f ca="1">IFERROR(IF(T227&gt;0,$H227,0)*T214,0)</f>
        <v>0</v>
      </c>
      <c r="Y227" s="319">
        <f ca="1">IFERROR(IF(LEFT($C227,1)="H",0,IF(U227&gt;0,$H227,IF($H227=0,0,VLOOKUP("H"&amp;Y215,$C216:$H227,6))))*U$104,0)</f>
        <v>0</v>
      </c>
      <c r="Z227" s="319">
        <f ca="1">IFERROR(IF(LEFT($C227,1)="H",0,IF(V227&gt;0,$H227,IF($H227=0,0,VLOOKUP("H"&amp;Z$105,$C216:$H227,6))))*V214,0)</f>
        <v>0</v>
      </c>
      <c r="AA227" s="404">
        <f t="shared" ca="1" si="101"/>
        <v>0</v>
      </c>
      <c r="AB227" s="299"/>
      <c r="AC227" s="19"/>
      <c r="AD227" s="19"/>
      <c r="AE227" s="286" t="str">
        <f>AdresseBezug(Tabellen!$O$5:$O$14)</f>
        <v>O5:O14</v>
      </c>
      <c r="AF227" s="286" t="e">
        <f>VLOOKUP(N227,Tabellen!$O$5:$R$57,3,FALSE)</f>
        <v>#N/A</v>
      </c>
      <c r="AG227" s="286" t="e">
        <f t="shared" ca="1" si="93"/>
        <v>#N/A</v>
      </c>
      <c r="AH227" s="288" t="b">
        <f t="shared" ca="1" si="94"/>
        <v>1</v>
      </c>
      <c r="AI227" s="288" t="b">
        <f t="shared" ca="1" si="95"/>
        <v>1</v>
      </c>
      <c r="AJ227" s="287">
        <f>IF(ISERROR(VLOOKUP(N227,Tabellen!$O$5:$R$58,4,FALSE)),1,VLOOKUP(N227,Tabellen!$O$5:$R$58,4,FALSE))</f>
        <v>1</v>
      </c>
      <c r="AK227" s="287">
        <f>IF(ISERROR(VLOOKUP(N227,Tabellen!$O$5:$S$58,5,FALSE)),1,VLOOKUP(N227,Tabellen!$O$5:$S$58,5,FALSE))</f>
        <v>1</v>
      </c>
    </row>
    <row r="228" spans="1:41" ht="14.4" hidden="1" thickTop="1">
      <c r="A228" s="281" t="s">
        <v>812</v>
      </c>
      <c r="B228" s="284"/>
      <c r="C228" s="409" t="s">
        <v>1944</v>
      </c>
      <c r="D228" s="409" t="s">
        <v>1945</v>
      </c>
      <c r="E228" s="301">
        <f>E215</f>
        <v>0</v>
      </c>
      <c r="F228" s="301"/>
      <c r="G228" s="301"/>
      <c r="H228" s="284"/>
      <c r="I228" s="154"/>
      <c r="J228" s="315">
        <f>IF(E228&gt;0,VLOOKUP(E228,Tabellen!$W$5:$Y$12,3,FALSE),0)</f>
        <v>0</v>
      </c>
      <c r="M228" s="57"/>
      <c r="Q228" s="57"/>
      <c r="R228" s="57"/>
      <c r="S228" s="295" t="s">
        <v>812</v>
      </c>
      <c r="T228" s="403">
        <f>IF(T214&gt;0,$J228,0)</f>
        <v>0</v>
      </c>
      <c r="U228" s="403">
        <f>IF(U214&gt;0,$J228,0)</f>
        <v>0</v>
      </c>
      <c r="V228" s="403">
        <f>IF(V214&gt;0,$J228,0)</f>
        <v>0</v>
      </c>
      <c r="X228" s="320"/>
      <c r="Y228" s="320"/>
      <c r="Z228" s="320"/>
      <c r="AA228" s="403">
        <f>J228</f>
        <v>0</v>
      </c>
      <c r="AB228" s="299"/>
      <c r="AC228" s="19"/>
      <c r="AD228" s="19"/>
      <c r="AE228" s="713" t="s">
        <v>2459</v>
      </c>
      <c r="AF228" s="713"/>
      <c r="AG228" s="713"/>
      <c r="AH228" s="713" t="s">
        <v>1942</v>
      </c>
      <c r="AI228" s="713"/>
      <c r="AJ228" s="713"/>
      <c r="AL228" s="713" t="s">
        <v>2460</v>
      </c>
      <c r="AM228" s="714"/>
    </row>
    <row r="229" spans="1:41" ht="15" hidden="1">
      <c r="A229" s="364" t="s">
        <v>342</v>
      </c>
      <c r="B229" s="317">
        <f>SUMIF(C216:C227,"",B216:B227)+SUMIF(C216:C227,"G1",B216:B227)+SUMIF(C216:C227,"G2",B216:B227)</f>
        <v>0</v>
      </c>
      <c r="C229" s="317">
        <f>SUMIF(C216:C227,"G1",D216:D227)+SUMIF(C216:C227,"H1",D216:D227)</f>
        <v>0</v>
      </c>
      <c r="D229" s="317">
        <f>SUMIF(C216:C227,"G2",D216:D227)+SUMIF(C216:C227,"H2",D216:D227)</f>
        <v>0</v>
      </c>
      <c r="E229" s="532" t="s">
        <v>2514</v>
      </c>
      <c r="F229" s="533" t="str">
        <f>IF(AND(C229&gt;0,D229=0),"mit inhomogen Schichten (1 Ebene)",
IF(AND(C229&gt;0,D229&gt;0),"mit inhomogen Schichten (2 Ebenen, um 90° gedreht)",
IF(SUM(M216:M227)&gt;0,"mit keilförmiger Schicht","mit homogenen Schichten")))</f>
        <v>mit homogenen Schichten</v>
      </c>
      <c r="G229" s="283"/>
      <c r="H229" s="152"/>
      <c r="I229" s="152"/>
      <c r="J229" s="274"/>
      <c r="K229" s="46" t="str">
        <f>IF(OR(C229&gt;0,D229&gt;0),AK229,IF(SUM(M216:M227)&gt;0,AO229,""))</f>
        <v/>
      </c>
      <c r="L229" s="46"/>
      <c r="M229" s="46"/>
      <c r="N229" s="46"/>
      <c r="O229" s="46"/>
      <c r="P229" s="46"/>
      <c r="Q229" s="57"/>
      <c r="R229" s="57"/>
      <c r="S229" s="295" t="s">
        <v>3427</v>
      </c>
      <c r="T229" s="404">
        <f ca="1">SUM(T215:T228)</f>
        <v>0</v>
      </c>
      <c r="U229" s="404">
        <f ca="1">SUM(U215:U228)</f>
        <v>0</v>
      </c>
      <c r="V229" s="404">
        <f ca="1">SUM(V215:V228)</f>
        <v>0</v>
      </c>
      <c r="X229" s="320">
        <f ca="1">SUM(X216:X227)</f>
        <v>0</v>
      </c>
      <c r="Y229" s="320">
        <f ca="1">SUM(Y216:Y227)</f>
        <v>0</v>
      </c>
      <c r="Z229" s="320">
        <f ca="1">SUM(Z216:Z227)</f>
        <v>0</v>
      </c>
      <c r="AA229" s="405">
        <f ca="1">SUM(AA215:AA228)</f>
        <v>0</v>
      </c>
      <c r="AB229" s="297" t="s">
        <v>3417</v>
      </c>
      <c r="AC229" s="19"/>
      <c r="AD229" s="19"/>
      <c r="AK229" s="207" t="s">
        <v>3433</v>
      </c>
      <c r="AO229" s="207" t="s">
        <v>955</v>
      </c>
    </row>
    <row r="230" spans="1:41" ht="15" hidden="1">
      <c r="A230" s="275"/>
      <c r="B230" s="276" t="str">
        <f>IF(OR(C229&gt;0,D229&gt;0),AH230,IF(SUM(M216:M227)&gt;0,AL230,AE230))</f>
        <v>Wärmedurchgangswiderstand</v>
      </c>
      <c r="C230" s="276"/>
      <c r="G230" s="37"/>
      <c r="H230" s="521" t="str">
        <f>IF(OR(C229&gt;0,D229&gt;0),AI230,IF(SUM(M216:M227)&gt;0,AM230,AF230))</f>
        <v>R = Rsi + ∑ di / λi + Rse =</v>
      </c>
      <c r="I230" s="513">
        <f ca="1">IF(OR(C229&gt;0,D229&gt;0),AJ230,IF(SUM(M216:M227)&gt;0,AN230,AG230))</f>
        <v>0</v>
      </c>
      <c r="J230" s="277" t="s">
        <v>809</v>
      </c>
      <c r="K230" s="1226" t="str">
        <f>IF(OR(C229&gt;0,D229&gt;0),AK230,IF(SUM(M216:M227)&gt;0,AO230,""))</f>
        <v/>
      </c>
      <c r="L230" s="1227"/>
      <c r="M230" s="1227"/>
      <c r="N230" s="1227"/>
      <c r="O230" s="1227"/>
      <c r="P230" s="1227"/>
      <c r="Q230" s="57"/>
      <c r="R230" s="57"/>
      <c r="S230" s="1170" t="s">
        <v>3428</v>
      </c>
      <c r="T230" s="404">
        <f ca="1">IFERROR(T214/T229,0)</f>
        <v>0</v>
      </c>
      <c r="U230" s="404">
        <f t="shared" ref="U230:V230" ca="1" si="102">IFERROR(U214/U229,0)</f>
        <v>0</v>
      </c>
      <c r="V230" s="404">
        <f t="shared" ca="1" si="102"/>
        <v>0</v>
      </c>
      <c r="X230" s="321"/>
      <c r="Y230" s="321"/>
      <c r="Z230" s="321"/>
      <c r="AA230" s="322"/>
      <c r="AB230" s="299"/>
      <c r="AC230" s="19"/>
      <c r="AD230" s="19"/>
      <c r="AE230" s="711" t="s">
        <v>2461</v>
      </c>
      <c r="AF230" s="710" t="s">
        <v>2466</v>
      </c>
      <c r="AG230" s="715">
        <f ca="1">T229</f>
        <v>0</v>
      </c>
      <c r="AH230" s="711" t="s">
        <v>2468</v>
      </c>
      <c r="AI230" s="710" t="s">
        <v>3429</v>
      </c>
      <c r="AJ230" s="715">
        <f ca="1">IF(SUM(T230:V230)&gt;0,1/SUM(T230:V230),0)</f>
        <v>0</v>
      </c>
      <c r="AK230" s="207" t="s">
        <v>2464</v>
      </c>
      <c r="AL230" s="711" t="s">
        <v>2470</v>
      </c>
      <c r="AM230" s="710" t="s">
        <v>2485</v>
      </c>
      <c r="AN230" s="715" t="str">
        <f>IF(SUM(M216:M227)&gt;0,SUM(M216:M227),"")</f>
        <v/>
      </c>
      <c r="AO230" s="207" t="s">
        <v>2416</v>
      </c>
    </row>
    <row r="231" spans="1:41" ht="15" hidden="1">
      <c r="A231" s="275"/>
      <c r="B231" s="276" t="str">
        <f>IF(OR(C229&gt;0,D229&gt;0),AH231,IF(SUM(M216:M227)&gt;0,AL231,AE231))</f>
        <v xml:space="preserve"> </v>
      </c>
      <c r="G231" s="276"/>
      <c r="H231" s="521" t="str">
        <f>IF(OR(C229&gt;0,D229&gt;0),AI231,IF(SUM(M216:M227)&gt;0,AM231,AF231))</f>
        <v xml:space="preserve"> </v>
      </c>
      <c r="I231" s="513" t="str">
        <f>IF(OR(C229&gt;0,D229&gt;0),AJ231,IF(SUM(M216:M227)&gt;0,AN231,AG231))</f>
        <v xml:space="preserve"> </v>
      </c>
      <c r="J231" s="277" t="s">
        <v>809</v>
      </c>
      <c r="K231" s="1226"/>
      <c r="L231" s="1227"/>
      <c r="M231" s="1227"/>
      <c r="N231" s="1227"/>
      <c r="O231" s="1227"/>
      <c r="P231" s="1227"/>
      <c r="Q231" s="57"/>
      <c r="R231" s="57"/>
      <c r="S231" s="297" t="s">
        <v>3426</v>
      </c>
      <c r="T231" s="405"/>
      <c r="U231" s="405"/>
      <c r="V231" s="405">
        <f ca="1">IF(SUM(T230:V230)&gt;0,1/SUM(T230:V230),0)</f>
        <v>0</v>
      </c>
      <c r="AC231" s="19"/>
      <c r="AD231" s="19"/>
      <c r="AE231" s="711" t="s">
        <v>955</v>
      </c>
      <c r="AF231" s="710" t="s">
        <v>955</v>
      </c>
      <c r="AG231" s="715" t="s">
        <v>955</v>
      </c>
      <c r="AH231" s="711" t="s">
        <v>2465</v>
      </c>
      <c r="AI231" s="710" t="s">
        <v>3430</v>
      </c>
      <c r="AJ231" s="715">
        <f ca="1">AA229</f>
        <v>0</v>
      </c>
      <c r="AK231" s="207" t="s">
        <v>955</v>
      </c>
      <c r="AL231" s="711" t="s">
        <v>2469</v>
      </c>
      <c r="AM231" s="710" t="s">
        <v>2467</v>
      </c>
      <c r="AN231" s="715" t="str">
        <f>IF(SUM(M216:M227)&gt;0,SUM(I215:J228),"")</f>
        <v/>
      </c>
      <c r="AO231" s="207" t="s">
        <v>955</v>
      </c>
    </row>
    <row r="232" spans="1:41" ht="15" hidden="1">
      <c r="A232" s="280"/>
      <c r="B232" s="281" t="str">
        <f>IF(OR(C229&gt;0,D229&gt;0),AH232,IF(SUM(M216:M227)&gt;0,AL232,AE232))</f>
        <v>Wärmedurchgangskoeffizient</v>
      </c>
      <c r="C232" s="154"/>
      <c r="D232" s="154"/>
      <c r="E232" s="154"/>
      <c r="F232" s="154"/>
      <c r="G232" s="154"/>
      <c r="H232" s="522" t="str">
        <f>IF(OR(C229&gt;0,D229&gt;0),AI232,IF(SUM(M216:M227)&gt;0,AM232,AF232))</f>
        <v>U = 1 / R =</v>
      </c>
      <c r="I232" s="514" t="str">
        <f ca="1">IF(OR(C229&gt;0,D229&gt;0),AJ232,IF(SUM(M216:M227)&gt;0,AN232,AG232))</f>
        <v/>
      </c>
      <c r="J232" s="282" t="s">
        <v>815</v>
      </c>
      <c r="K232" s="46" t="str">
        <f>IF(OR(C229&gt;0,D229&gt;0),AK232,IF(SUM(M216:M227)&gt;0,AO232,""))</f>
        <v/>
      </c>
      <c r="L232" s="46"/>
      <c r="M232" s="46"/>
      <c r="N232" s="46"/>
      <c r="O232" s="46"/>
      <c r="P232" s="46"/>
      <c r="Q232" s="57"/>
      <c r="R232" s="57"/>
      <c r="T232" s="292"/>
      <c r="U232" s="57"/>
      <c r="V232" s="57"/>
      <c r="W232" s="57"/>
      <c r="X232" s="292"/>
      <c r="Y232" s="292"/>
      <c r="Z232" s="292"/>
      <c r="AC232" s="19"/>
      <c r="AD232" s="19"/>
      <c r="AE232" s="711" t="s">
        <v>813</v>
      </c>
      <c r="AF232" s="710" t="s">
        <v>2463</v>
      </c>
      <c r="AG232" s="715" t="str">
        <f ca="1">IF(AG230&gt;0,1/AG230,"")</f>
        <v/>
      </c>
      <c r="AH232" s="711" t="s">
        <v>813</v>
      </c>
      <c r="AI232" s="710" t="s">
        <v>3431</v>
      </c>
      <c r="AJ232" s="715">
        <f ca="1">IF((AJ230+AJ231)&gt;0,2/(AJ230+AJ231),0)</f>
        <v>0</v>
      </c>
      <c r="AK232" s="207" t="str">
        <f>"Hier: Rtot;upper / Rtot;lower = "&amp; IF(AND(I231&gt;0,(C229+D229)&gt;0),TEXT(I230/I231,"0,00")&amp;IF(I230/I231&lt;=1.5," &lt;= 1,5, d.h. zulässig"," &gt; 1,5, d.h. nicht zulässig"),"nicht relevant")</f>
        <v>Hier: Rtot;upper / Rtot;lower = nicht relevant</v>
      </c>
      <c r="AL232" s="711" t="s">
        <v>2462</v>
      </c>
      <c r="AM232" s="710" t="s">
        <v>2486</v>
      </c>
      <c r="AN232" s="715" t="str">
        <f>IF(SUM(M216:M227)&gt;0,IF(AN230*AN231&gt;0,1/AN230*LN(1+AN230/AN231),""),"")</f>
        <v/>
      </c>
      <c r="AO232" s="207" t="s">
        <v>2417</v>
      </c>
    </row>
    <row r="233" spans="1:41" s="18" customFormat="1" ht="13.8">
      <c r="A233" s="33"/>
      <c r="B233" s="33"/>
      <c r="C233" s="33"/>
      <c r="D233" s="33"/>
      <c r="E233" s="33"/>
      <c r="F233" s="33"/>
      <c r="G233" s="33"/>
      <c r="H233" s="33"/>
      <c r="I233" s="33"/>
      <c r="J233" s="33"/>
      <c r="K233" s="33"/>
      <c r="L233" s="33"/>
      <c r="M233" s="33"/>
      <c r="Q233" s="33"/>
      <c r="R233" s="33"/>
      <c r="AC233" s="19"/>
      <c r="AD233" s="19"/>
      <c r="AE233" s="187"/>
      <c r="AF233" s="187"/>
      <c r="AG233" s="187"/>
      <c r="AH233" s="187"/>
      <c r="AI233" s="187"/>
      <c r="AJ233" s="187"/>
      <c r="AK233" s="187"/>
      <c r="AL233" s="149"/>
      <c r="AM233" s="187"/>
      <c r="AN233" s="187"/>
      <c r="AO233" s="187"/>
    </row>
    <row r="234" spans="1:41" ht="13.8">
      <c r="A234" s="419" t="s">
        <v>819</v>
      </c>
      <c r="B234" s="1214"/>
      <c r="C234" s="1215"/>
      <c r="D234" s="1215"/>
      <c r="E234" s="1215"/>
      <c r="F234" s="1216"/>
      <c r="G234" s="1216"/>
      <c r="H234" s="1216"/>
      <c r="I234" s="523" t="str">
        <f ca="1">I254</f>
        <v/>
      </c>
      <c r="J234" s="737">
        <v>0.5</v>
      </c>
      <c r="K234" s="33"/>
      <c r="L234" s="87">
        <f>ROW(A235)</f>
        <v>235</v>
      </c>
      <c r="M234" s="87">
        <f>ROW(A254)</f>
        <v>254</v>
      </c>
      <c r="N234" s="515">
        <f>(ROW(A234)-ROW($A$36))/(ROW($A$58)-ROW($A$36))+1</f>
        <v>10</v>
      </c>
      <c r="O234" s="216"/>
      <c r="P234" s="216"/>
      <c r="Q234" s="87"/>
      <c r="R234" s="87"/>
      <c r="S234" s="297" t="s">
        <v>3414</v>
      </c>
      <c r="T234" s="294"/>
      <c r="U234" s="293"/>
      <c r="V234" s="293"/>
      <c r="X234" s="297" t="s">
        <v>3415</v>
      </c>
      <c r="Y234" s="297"/>
      <c r="Z234" s="297"/>
      <c r="AA234" s="294"/>
      <c r="AB234" s="298"/>
      <c r="AC234" s="19"/>
      <c r="AD234" s="19"/>
    </row>
    <row r="235" spans="1:41" ht="22.8" hidden="1">
      <c r="A235" s="310" t="s">
        <v>1125</v>
      </c>
      <c r="B235" s="365" t="s">
        <v>1115</v>
      </c>
      <c r="C235" s="1221" t="s">
        <v>3425</v>
      </c>
      <c r="D235" s="1222"/>
      <c r="E235" s="306" t="s">
        <v>1116</v>
      </c>
      <c r="F235" s="305"/>
      <c r="G235" s="305"/>
      <c r="H235" s="306" t="s">
        <v>1120</v>
      </c>
      <c r="I235" s="306" t="s">
        <v>1679</v>
      </c>
      <c r="J235" s="591" t="s">
        <v>1113</v>
      </c>
      <c r="K235" s="33"/>
      <c r="M235" s="57"/>
      <c r="N235" s="387"/>
      <c r="Q235" s="57"/>
      <c r="R235" s="57"/>
      <c r="S235" s="295" t="s">
        <v>3416</v>
      </c>
      <c r="T235" s="1167">
        <v>0</v>
      </c>
      <c r="U235" s="296">
        <v>1</v>
      </c>
      <c r="V235" s="296">
        <v>2</v>
      </c>
      <c r="X235" s="1169" t="s">
        <v>3413</v>
      </c>
      <c r="Y235" s="296"/>
      <c r="Z235" s="296"/>
      <c r="AA235" s="296" t="s">
        <v>3418</v>
      </c>
      <c r="AB235" s="298"/>
      <c r="AC235" s="19"/>
      <c r="AD235" s="19"/>
      <c r="AE235" s="272" t="s">
        <v>824</v>
      </c>
      <c r="AF235" s="197"/>
      <c r="AG235" s="197"/>
      <c r="AH235" s="195" t="s">
        <v>842</v>
      </c>
      <c r="AI235" s="199"/>
      <c r="AJ235" s="289" t="s">
        <v>1671</v>
      </c>
      <c r="AK235" s="289"/>
    </row>
    <row r="236" spans="1:41" ht="13.8" hidden="1">
      <c r="A236" s="312"/>
      <c r="B236" s="306" t="s">
        <v>807</v>
      </c>
      <c r="C236" s="306" t="s">
        <v>3424</v>
      </c>
      <c r="D236" s="306" t="s">
        <v>807</v>
      </c>
      <c r="E236" s="311" t="s">
        <v>806</v>
      </c>
      <c r="F236" s="770"/>
      <c r="G236" s="771"/>
      <c r="H236" s="306" t="s">
        <v>808</v>
      </c>
      <c r="I236" s="306" t="s">
        <v>1122</v>
      </c>
      <c r="J236" s="591" t="s">
        <v>809</v>
      </c>
      <c r="N236" s="387"/>
      <c r="S236" s="295" t="s">
        <v>1114</v>
      </c>
      <c r="T236" s="405">
        <f>1-U236-V236</f>
        <v>1</v>
      </c>
      <c r="U236" s="405">
        <f>IF(C251=0,0,SUMIF($C238:$C249,"H"&amp;U235,$D238:$D249)/C251)</f>
        <v>0</v>
      </c>
      <c r="V236" s="405">
        <f>IF(D251=0,0,SUMIF($C238:$C249,"H"&amp;V235,$D238:$D249)/D251)</f>
        <v>0</v>
      </c>
      <c r="X236" s="407" t="s">
        <v>3423</v>
      </c>
      <c r="Y236" s="407" t="s">
        <v>1910</v>
      </c>
      <c r="Z236" s="407"/>
      <c r="AA236" s="406" t="s">
        <v>3432</v>
      </c>
      <c r="AB236" s="299"/>
      <c r="AC236" s="19"/>
      <c r="AD236" s="19"/>
      <c r="AE236" s="197"/>
      <c r="AF236" s="197"/>
      <c r="AG236" s="197"/>
      <c r="AH236" s="199"/>
      <c r="AI236" s="199"/>
      <c r="AJ236" s="289" t="s">
        <v>1672</v>
      </c>
      <c r="AK236" s="289"/>
    </row>
    <row r="237" spans="1:41" ht="13.8" hidden="1">
      <c r="A237" s="279" t="s">
        <v>810</v>
      </c>
      <c r="B237" s="276"/>
      <c r="C237" s="276"/>
      <c r="D237" s="276"/>
      <c r="E237" s="1217"/>
      <c r="F237" s="1218"/>
      <c r="G237" s="1218"/>
      <c r="H237" s="276"/>
      <c r="I237" s="278"/>
      <c r="J237" s="315">
        <f>IF(E237&gt;0,VLOOKUP(E237,Tabellen!$W$5:$Y$12,2,FALSE),0)</f>
        <v>0</v>
      </c>
      <c r="N237" s="418" t="s">
        <v>821</v>
      </c>
      <c r="O237" s="418" t="s">
        <v>818</v>
      </c>
      <c r="P237" s="418" t="s">
        <v>820</v>
      </c>
      <c r="S237" s="295" t="s">
        <v>810</v>
      </c>
      <c r="T237" s="403">
        <f>IF(T236&gt;0,$J237,0)</f>
        <v>0</v>
      </c>
      <c r="U237" s="403">
        <f>IF(U236&gt;0,$J237,0)</f>
        <v>0</v>
      </c>
      <c r="V237" s="403">
        <f>IF(V236&gt;0,$J237,0)</f>
        <v>0</v>
      </c>
      <c r="X237" s="1169">
        <v>0</v>
      </c>
      <c r="Y237" s="1169">
        <v>1</v>
      </c>
      <c r="Z237" s="1169">
        <v>2</v>
      </c>
      <c r="AA237" s="403">
        <f>J237</f>
        <v>0</v>
      </c>
      <c r="AB237" s="299"/>
      <c r="AC237" s="19"/>
      <c r="AD237" s="19"/>
      <c r="AE237" s="197" t="s">
        <v>821</v>
      </c>
      <c r="AF237" s="197" t="s">
        <v>818</v>
      </c>
      <c r="AG237" s="197" t="s">
        <v>820</v>
      </c>
      <c r="AH237" s="199" t="s">
        <v>1678</v>
      </c>
      <c r="AI237" s="199" t="s">
        <v>818</v>
      </c>
    </row>
    <row r="238" spans="1:41" ht="14.4" hidden="1" thickBot="1">
      <c r="A238" s="285">
        <v>1</v>
      </c>
      <c r="B238" s="540"/>
      <c r="C238" s="736"/>
      <c r="D238" s="541"/>
      <c r="E238" s="1219" t="str">
        <f t="shared" ref="E238:E249" si="103">IF(AJ238&gt;1,N238&amp;": "&amp;INDEX(N238:P238,AJ238),"")</f>
        <v/>
      </c>
      <c r="F238" s="1219"/>
      <c r="G238" s="1220"/>
      <c r="H238" s="534">
        <f ca="1">CHOOSE(AK238,0,
VLOOKUP(P238,OFFSET(INDIRECT("Tabellen!"&amp;AG238),0,0,,2),2,FALSE),
VLOOKUP(P238,OFFSET(INDIRECT("Tabellen!"&amp;AG238),0,0,,3),3,FALSE),
VLOOKUP(P238,OFFSET(INDIRECT("Tabellen!"&amp;AG238),0,0,,3),3,FALSE),
RechLuftschichtRuhend(B238,MATCH(Bauteile!O238,Tabellen!$W$5:$W$12,0)),
VLOOKUP(O238,OFFSET(INDIRECT("Tabellen!"&amp;AF238),0,0,,7),7,FALSE))</f>
        <v>0</v>
      </c>
      <c r="I238" s="316">
        <f ca="1">IF(C238="keilförmig","siehe unten",IF(H238&gt;0,B238/1000/H238,0))</f>
        <v>0</v>
      </c>
      <c r="J238" s="304" t="str">
        <f>IF(AND(C238="keilförmig",(C251+D251&gt;0)),"keilförmig nur homogen",
IF(AND(C237="",C238&lt;&gt;"",B238&lt;&gt;B239),"Dicke " &amp; C238 &amp; " &lt;&gt; Dicke "&amp; C239,
IF(AND(C237&lt;&gt;"",C238&lt;&gt;"",RIGHT(C237,1)&lt;&gt;RIGHT(C238,1),B238&lt;&gt;B239),"Dicke " &amp; C238 &amp; " &lt;&gt; Dicke "&amp; C239,
IF(COUNTIF(b01_x,"=a1")&gt;1,"a1 nur einmal",
IF(COUNTIF(b01_x,"=b1")&gt;1,"b1 nur einmal",
IF(COUNTIF(b01_x,"=a2")&gt;1,"a2 nur einmal",
IF(COUNTIF(b01_x,"=b2")&gt;1,"b2 nur einmal","")))))))</f>
        <v/>
      </c>
      <c r="M238" s="490" t="str">
        <f>IF(C238="keilförmig",IF(H238&gt;0,B238/1000/H238,0),"")</f>
        <v/>
      </c>
      <c r="N238" s="546"/>
      <c r="O238" s="547"/>
      <c r="P238" s="548"/>
      <c r="S238" s="1168" t="str">
        <f>IF(AND(C238&lt;&gt;"keilförmig",C238&lt;&gt;""),VALUE(RIGHT(C238,1)),"")</f>
        <v/>
      </c>
      <c r="T238" s="404">
        <f ca="1">IFERROR(IF($H238=0,0,IF(OR($C238=0,LEFT($C238,1)="G"),$B238/1000/$H238,0)),0)</f>
        <v>0</v>
      </c>
      <c r="U238" s="404">
        <f ca="1">IFERROR(IF($H238=0,0,IF($C238="H"&amp;U$103,$B238/1000/$H238,IF($C238="G"&amp;U$103,0,$T238))),0)</f>
        <v>0</v>
      </c>
      <c r="V238" s="404">
        <f ca="1">IFERROR(IF($H238=0,0,IF($C238="H"&amp;V$103,$B238/1000/$H238,IF($C238="G"&amp;V$103,0,$T238))),0)</f>
        <v>0</v>
      </c>
      <c r="X238" s="319">
        <f ca="1">IFERROR(IF(T238&gt;0,$H238,0)*T236,0)</f>
        <v>0</v>
      </c>
      <c r="Y238" s="319">
        <f ca="1">IFERROR(IF(LEFT($C238,1)="H",0,IF(U238&gt;0,$H238,IF($H238=0,0,VLOOKUP("H"&amp;Y237,$C238:$H249,6))))*U$104,0)</f>
        <v>0</v>
      </c>
      <c r="Z238" s="319">
        <f ca="1">IFERROR(IF(LEFT($C238,1)="H",0,IF(V238&gt;0,$H238,IF($H238=0,0,VLOOKUP("H"&amp;Z$105,$C238:$H249,6))))*V236,0)</f>
        <v>0</v>
      </c>
      <c r="AA238" s="404">
        <f ca="1">IFERROR($B238/1000/SUM(X238:Z238),0)</f>
        <v>0</v>
      </c>
      <c r="AB238" s="299"/>
      <c r="AC238" s="19"/>
      <c r="AD238" s="19"/>
      <c r="AE238" s="286" t="str">
        <f>AdresseBezug(Tabellen!$O$5:$O$14)</f>
        <v>O5:O14</v>
      </c>
      <c r="AF238" s="286" t="e">
        <f>VLOOKUP(N238,Tabellen!$O$5:$R$57,3,FALSE)</f>
        <v>#N/A</v>
      </c>
      <c r="AG238" s="286" t="e">
        <f t="shared" ref="AG238:AG249" ca="1" si="104">VLOOKUP(O238,OFFSET(INDIRECT("Tabellen!"&amp;AF238),0,0,,2),2,FALSE)</f>
        <v>#N/A</v>
      </c>
      <c r="AH238" s="288" t="b">
        <f t="shared" ref="AH238:AH249" ca="1" si="105">ISERROR(VLOOKUP(O238,INDIRECT("Tabellen!"&amp;AF238),1,FALSE))</f>
        <v>1</v>
      </c>
      <c r="AI238" s="288" t="b">
        <f t="shared" ref="AI238:AI249" ca="1" si="106">ISERROR(VLOOKUP(P238,INDIRECT("Tabellen!"&amp;AG238),1,FALSE))</f>
        <v>1</v>
      </c>
      <c r="AJ238" s="287">
        <f>IF(ISERROR(VLOOKUP(N238,Tabellen!$O$5:$R$58,4,FALSE)),1,VLOOKUP(N238,Tabellen!$O$5:$R$58,4,FALSE))</f>
        <v>1</v>
      </c>
      <c r="AK238" s="287">
        <f>IF(ISERROR(VLOOKUP(N238,Tabellen!$O$5:$S$58,5,FALSE)),1,VLOOKUP(N238,Tabellen!$O$5:$S$58,5,FALSE))</f>
        <v>1</v>
      </c>
    </row>
    <row r="239" spans="1:41" ht="15" hidden="1" thickTop="1" thickBot="1">
      <c r="A239" s="285">
        <v>2</v>
      </c>
      <c r="B239" s="542"/>
      <c r="C239" s="736"/>
      <c r="D239" s="543"/>
      <c r="E239" s="1219" t="str">
        <f t="shared" si="103"/>
        <v/>
      </c>
      <c r="F239" s="1219"/>
      <c r="G239" s="1220"/>
      <c r="H239" s="534">
        <f ca="1">CHOOSE(AK239,0,
VLOOKUP(P239,OFFSET(INDIRECT("Tabellen!"&amp;AG239),0,0,,2),2,FALSE),
VLOOKUP(P239,OFFSET(INDIRECT("Tabellen!"&amp;AG239),0,0,,3),3,FALSE),
VLOOKUP(P239,OFFSET(INDIRECT("Tabellen!"&amp;AG239),0,0,,3),3,FALSE),
RechLuftschichtRuhend(B239,MATCH(Bauteile!O239,Tabellen!$W$5:$W$12,0)),
VLOOKUP(O239,OFFSET(INDIRECT("Tabellen!"&amp;AF239),0,0,,7),7,FALSE))</f>
        <v>0</v>
      </c>
      <c r="I239" s="316">
        <f t="shared" ref="I239:I249" ca="1" si="107">IF(C239="keilförmig","siehe unten",IF(H239&gt;0,B239/1000/H239,0))</f>
        <v>0</v>
      </c>
      <c r="J239" s="304" t="str">
        <f>IF(AND(C239="keilförmig",(C251+D251&gt;0)),"keilförmig nur homogen",
IF(AND(C238="",C239&lt;&gt;"",B239&lt;&gt;B240),"Dicke " &amp; C239 &amp; " &lt;&gt; Dicke "&amp; C240,
IF(AND(C238&lt;&gt;"",C239&lt;&gt;"",RIGHT(C238,1)&lt;&gt;RIGHT(C239,1),B239&lt;&gt;B240),"Dicke " &amp; C239 &amp; " &lt;&gt; Dicke "&amp; C240,
IF(COUNTIF(b01_x,"=a1")&gt;1,"a1 nur einmal",
IF(COUNTIF(b01_x,"=b1")&gt;1,"b1 nur einmal",
IF(COUNTIF(b01_x,"=a2")&gt;1,"a2 nur einmal",
IF(COUNTIF(b01_x,"=b2")&gt;1,"b2 nur einmal","")))))))</f>
        <v/>
      </c>
      <c r="M239" s="490" t="str">
        <f t="shared" ref="M239:M249" si="108">IF(C239="keilförmig",IF(H239&gt;0,B239/1000/H239,0),"")</f>
        <v/>
      </c>
      <c r="N239" s="549"/>
      <c r="O239" s="550"/>
      <c r="P239" s="551"/>
      <c r="S239" s="1168" t="str">
        <f t="shared" ref="S239:S249" si="109">IF(AND(C239&lt;&gt;"keilförmig",C239&lt;&gt;""),VALUE(RIGHT(C239,1)),"")</f>
        <v/>
      </c>
      <c r="T239" s="404">
        <f t="shared" ref="T239:T249" ca="1" si="110">IFERROR(IF($H239=0,0,IF(OR($C239=0,LEFT($C239,1)="G"),$B239/1000/$H239,0)),0)</f>
        <v>0</v>
      </c>
      <c r="U239" s="404">
        <f t="shared" ref="U239:V249" ca="1" si="111">IFERROR(IF($H239=0,0,IF($C239="H"&amp;U$103,$B239/1000/$H239,IF($C239="G"&amp;U$103,0,$T239))),0)</f>
        <v>0</v>
      </c>
      <c r="V239" s="404">
        <f t="shared" ca="1" si="111"/>
        <v>0</v>
      </c>
      <c r="X239" s="319">
        <f ca="1">IFERROR(IF(T239&gt;0,$H239,0)*T236,0)</f>
        <v>0</v>
      </c>
      <c r="Y239" s="319">
        <f ca="1">IFERROR(IF(LEFT($C239,1)="H",0,IF(U239&gt;0,$H239,IF($H239=0,0,VLOOKUP("H"&amp;Y237,$C238:$H249,6))))*U$104,0)</f>
        <v>0</v>
      </c>
      <c r="Z239" s="319">
        <f ca="1">IFERROR(IF(LEFT($C239,1)="H",0,IF(V239&gt;0,$H239,IF($H239=0,0,VLOOKUP("H"&amp;Z$105,$C238:$H249,6))))*V236,0)</f>
        <v>0</v>
      </c>
      <c r="AA239" s="404">
        <f t="shared" ref="AA239:AA249" ca="1" si="112">IFERROR($B239/1000/SUM(X239:Z239),0)</f>
        <v>0</v>
      </c>
      <c r="AB239" s="299"/>
      <c r="AC239" s="19"/>
      <c r="AD239" s="19"/>
      <c r="AE239" s="286" t="str">
        <f>AdresseBezug(Tabellen!$O$5:$O$14)</f>
        <v>O5:O14</v>
      </c>
      <c r="AF239" s="286" t="e">
        <f>VLOOKUP(N239,Tabellen!$O$5:$R$57,3,FALSE)</f>
        <v>#N/A</v>
      </c>
      <c r="AG239" s="286" t="e">
        <f t="shared" ca="1" si="104"/>
        <v>#N/A</v>
      </c>
      <c r="AH239" s="288" t="b">
        <f t="shared" ca="1" si="105"/>
        <v>1</v>
      </c>
      <c r="AI239" s="288" t="b">
        <f t="shared" ca="1" si="106"/>
        <v>1</v>
      </c>
      <c r="AJ239" s="287">
        <f>IF(ISERROR(VLOOKUP(N239,Tabellen!$O$5:$R$58,4,FALSE)),1,VLOOKUP(N239,Tabellen!$O$5:$R$58,4,FALSE))</f>
        <v>1</v>
      </c>
      <c r="AK239" s="287">
        <f>IF(ISERROR(VLOOKUP(N239,Tabellen!$O$5:$S$58,5,FALSE)),1,VLOOKUP(N239,Tabellen!$O$5:$S$58,5,FALSE))</f>
        <v>1</v>
      </c>
    </row>
    <row r="240" spans="1:41" ht="15" hidden="1" thickTop="1" thickBot="1">
      <c r="A240" s="285">
        <v>3</v>
      </c>
      <c r="B240" s="542"/>
      <c r="C240" s="736"/>
      <c r="D240" s="543"/>
      <c r="E240" s="1219" t="str">
        <f t="shared" si="103"/>
        <v/>
      </c>
      <c r="F240" s="1219"/>
      <c r="G240" s="1220"/>
      <c r="H240" s="534">
        <f ca="1">CHOOSE(AK240,0,
VLOOKUP(P240,OFFSET(INDIRECT("Tabellen!"&amp;AG240),0,0,,2),2,FALSE),
VLOOKUP(P240,OFFSET(INDIRECT("Tabellen!"&amp;AG240),0,0,,3),3,FALSE),
VLOOKUP(P240,OFFSET(INDIRECT("Tabellen!"&amp;AG240),0,0,,3),3,FALSE),
RechLuftschichtRuhend(B240,MATCH(Bauteile!O240,Tabellen!$W$5:$W$12,0)),
VLOOKUP(O240,OFFSET(INDIRECT("Tabellen!"&amp;AF240),0,0,,7),7,FALSE))</f>
        <v>0</v>
      </c>
      <c r="I240" s="316">
        <f t="shared" ca="1" si="107"/>
        <v>0</v>
      </c>
      <c r="J240" s="304" t="str">
        <f>IF(AND(C240="keilförmig",(C251+D251&gt;0)),"keilförmig nur homogen",
IF(AND(C239="",C240&lt;&gt;"",B240&lt;&gt;B241),"Dicke " &amp; C240 &amp; " &lt;&gt; Dicke "&amp; C241,
IF(AND(C239&lt;&gt;"",C240&lt;&gt;"",RIGHT(C239,1)&lt;&gt;RIGHT(C240,1),B240&lt;&gt;B241),"Dicke " &amp; C240 &amp; " &lt;&gt; Dicke "&amp; C241,
IF(COUNTIF(b01_x,"=a1")&gt;1,"a1 nur einmal",
IF(COUNTIF(b01_x,"=b1")&gt;1,"b1 nur einmal",
IF(COUNTIF(b01_x,"=a2")&gt;1,"a2 nur einmal",
IF(COUNTIF(b01_x,"=b2")&gt;1,"b2 nur einmal","")))))))</f>
        <v/>
      </c>
      <c r="M240" s="490" t="str">
        <f t="shared" si="108"/>
        <v/>
      </c>
      <c r="N240" s="546"/>
      <c r="O240" s="547"/>
      <c r="P240" s="548"/>
      <c r="S240" s="1168" t="str">
        <f t="shared" si="109"/>
        <v/>
      </c>
      <c r="T240" s="404">
        <f t="shared" ca="1" si="110"/>
        <v>0</v>
      </c>
      <c r="U240" s="404">
        <f t="shared" ca="1" si="111"/>
        <v>0</v>
      </c>
      <c r="V240" s="404">
        <f t="shared" ca="1" si="111"/>
        <v>0</v>
      </c>
      <c r="X240" s="319">
        <f ca="1">IFERROR(IF(T240&gt;0,$H240,0)*T236,0)</f>
        <v>0</v>
      </c>
      <c r="Y240" s="319">
        <f ca="1">IFERROR(IF(LEFT($C240,1)="H",0,IF(U240&gt;0,$H240,IF($H240=0,0,VLOOKUP("H"&amp;Y237,$C238:$H249,6))))*U$104,0)</f>
        <v>0</v>
      </c>
      <c r="Z240" s="319">
        <f ca="1">IFERROR(IF(LEFT($C240,1)="H",0,IF(V240&gt;0,$H240,IF($H240=0,0,VLOOKUP("H"&amp;Z$105,$C238:$H249,6))))*V236,0)</f>
        <v>0</v>
      </c>
      <c r="AA240" s="404">
        <f t="shared" ca="1" si="112"/>
        <v>0</v>
      </c>
      <c r="AB240" s="300"/>
      <c r="AC240" s="19"/>
      <c r="AD240" s="19"/>
      <c r="AE240" s="286" t="str">
        <f>AdresseBezug(Tabellen!$O$5:$O$14)</f>
        <v>O5:O14</v>
      </c>
      <c r="AF240" s="286" t="e">
        <f>VLOOKUP(N240,Tabellen!$O$5:$R$57,3,FALSE)</f>
        <v>#N/A</v>
      </c>
      <c r="AG240" s="286" t="e">
        <f t="shared" ca="1" si="104"/>
        <v>#N/A</v>
      </c>
      <c r="AH240" s="288" t="b">
        <f t="shared" ca="1" si="105"/>
        <v>1</v>
      </c>
      <c r="AI240" s="288" t="b">
        <f t="shared" ca="1" si="106"/>
        <v>1</v>
      </c>
      <c r="AJ240" s="287">
        <f>IF(ISERROR(VLOOKUP(N240,Tabellen!$O$5:$R$58,4,FALSE)),1,VLOOKUP(N240,Tabellen!$O$5:$R$58,4,FALSE))</f>
        <v>1</v>
      </c>
      <c r="AK240" s="287">
        <f>IF(ISERROR(VLOOKUP(N240,Tabellen!$O$5:$S$58,5,FALSE)),1,VLOOKUP(N240,Tabellen!$O$5:$S$58,5,FALSE))</f>
        <v>1</v>
      </c>
    </row>
    <row r="241" spans="1:41" ht="15" hidden="1" thickTop="1" thickBot="1">
      <c r="A241" s="285">
        <v>4</v>
      </c>
      <c r="B241" s="542"/>
      <c r="C241" s="736"/>
      <c r="D241" s="543"/>
      <c r="E241" s="1219" t="str">
        <f t="shared" si="103"/>
        <v/>
      </c>
      <c r="F241" s="1219"/>
      <c r="G241" s="1220"/>
      <c r="H241" s="534">
        <f ca="1">CHOOSE(AK241,0,
VLOOKUP(P241,OFFSET(INDIRECT("Tabellen!"&amp;AG241),0,0,,2),2,FALSE),
VLOOKUP(P241,OFFSET(INDIRECT("Tabellen!"&amp;AG241),0,0,,3),3,FALSE),
VLOOKUP(P241,OFFSET(INDIRECT("Tabellen!"&amp;AG241),0,0,,3),3,FALSE),
RechLuftschichtRuhend(B241,MATCH(Bauteile!O241,Tabellen!$W$5:$W$12,0)),
VLOOKUP(O241,OFFSET(INDIRECT("Tabellen!"&amp;AF241),0,0,,7),7,FALSE))</f>
        <v>0</v>
      </c>
      <c r="I241" s="316">
        <f t="shared" ca="1" si="107"/>
        <v>0</v>
      </c>
      <c r="J241" s="304" t="str">
        <f>IF(AND(C241="keilförmig",(C251+D251&gt;0)),"keilförmig nur homogen",
IF(AND(C240="",C241&lt;&gt;"",B241&lt;&gt;B242),"Dicke " &amp; C241 &amp; " &lt;&gt; Dicke "&amp; C242,
IF(AND(C240&lt;&gt;"",C241&lt;&gt;"",RIGHT(C240,1)&lt;&gt;RIGHT(C241,1),B241&lt;&gt;B242),"Dicke " &amp; C241 &amp; " &lt;&gt; Dicke "&amp; C242,
IF(COUNTIF(b01_x,"=a1")&gt;1,"a1 nur einmal",
IF(COUNTIF(b01_x,"=b1")&gt;1,"b1 nur einmal",
IF(COUNTIF(b01_x,"=a2")&gt;1,"a2 nur einmal",
IF(COUNTIF(b01_x,"=b2")&gt;1,"b2 nur einmal","")))))))</f>
        <v/>
      </c>
      <c r="M241" s="490" t="str">
        <f t="shared" si="108"/>
        <v/>
      </c>
      <c r="N241" s="549"/>
      <c r="O241" s="550"/>
      <c r="P241" s="551"/>
      <c r="S241" s="1168" t="str">
        <f t="shared" si="109"/>
        <v/>
      </c>
      <c r="T241" s="404">
        <f t="shared" ca="1" si="110"/>
        <v>0</v>
      </c>
      <c r="U241" s="404">
        <f t="shared" ca="1" si="111"/>
        <v>0</v>
      </c>
      <c r="V241" s="404">
        <f t="shared" ca="1" si="111"/>
        <v>0</v>
      </c>
      <c r="X241" s="319">
        <f ca="1">IFERROR(IF(T241&gt;0,$H241,0)*T236,0)</f>
        <v>0</v>
      </c>
      <c r="Y241" s="319">
        <f ca="1">IFERROR(IF(LEFT($C241,1)="H",0,IF(U241&gt;0,$H241,IF($H241=0,0,VLOOKUP("H"&amp;Y237,$C238:$H249,6))))*U$104,0)</f>
        <v>0</v>
      </c>
      <c r="Z241" s="319">
        <f ca="1">IFERROR(IF(LEFT($C241,1)="H",0,IF(V241&gt;0,$H241,IF($H241=0,0,VLOOKUP("H"&amp;Z$105,$C238:$H249,6))))*V236,0)</f>
        <v>0</v>
      </c>
      <c r="AA241" s="404">
        <f t="shared" ca="1" si="112"/>
        <v>0</v>
      </c>
      <c r="AB241" s="300"/>
      <c r="AC241" s="19"/>
      <c r="AD241" s="19"/>
      <c r="AE241" s="286" t="str">
        <f>AdresseBezug(Tabellen!$O$5:$O$14)</f>
        <v>O5:O14</v>
      </c>
      <c r="AF241" s="286" t="e">
        <f>VLOOKUP(N241,Tabellen!$O$5:$R$57,3,FALSE)</f>
        <v>#N/A</v>
      </c>
      <c r="AG241" s="286" t="e">
        <f t="shared" ca="1" si="104"/>
        <v>#N/A</v>
      </c>
      <c r="AH241" s="288" t="b">
        <f t="shared" ca="1" si="105"/>
        <v>1</v>
      </c>
      <c r="AI241" s="288" t="b">
        <f t="shared" ca="1" si="106"/>
        <v>1</v>
      </c>
      <c r="AJ241" s="287">
        <f>IF(ISERROR(VLOOKUP(N241,Tabellen!$O$5:$R$58,4,FALSE)),1,VLOOKUP(N241,Tabellen!$O$5:$R$58,4,FALSE))</f>
        <v>1</v>
      </c>
      <c r="AK241" s="287">
        <f>IF(ISERROR(VLOOKUP(N241,Tabellen!$O$5:$S$58,5,FALSE)),1,VLOOKUP(N241,Tabellen!$O$5:$S$58,5,FALSE))</f>
        <v>1</v>
      </c>
    </row>
    <row r="242" spans="1:41" ht="15" hidden="1" thickTop="1" thickBot="1">
      <c r="A242" s="285">
        <v>5</v>
      </c>
      <c r="B242" s="542"/>
      <c r="C242" s="736"/>
      <c r="D242" s="543"/>
      <c r="E242" s="1219" t="str">
        <f t="shared" si="103"/>
        <v/>
      </c>
      <c r="F242" s="1219"/>
      <c r="G242" s="1220"/>
      <c r="H242" s="534">
        <f ca="1">CHOOSE(AK242,0,
VLOOKUP(P242,OFFSET(INDIRECT("Tabellen!"&amp;AG242),0,0,,2),2,FALSE),
VLOOKUP(P242,OFFSET(INDIRECT("Tabellen!"&amp;AG242),0,0,,3),3,FALSE),
VLOOKUP(P242,OFFSET(INDIRECT("Tabellen!"&amp;AG242),0,0,,3),3,FALSE),
RechLuftschichtRuhend(B242,MATCH(Bauteile!O242,Tabellen!$W$5:$W$12,0)),
VLOOKUP(O242,OFFSET(INDIRECT("Tabellen!"&amp;AF242),0,0,,7),7,FALSE))</f>
        <v>0</v>
      </c>
      <c r="I242" s="316">
        <f t="shared" ca="1" si="107"/>
        <v>0</v>
      </c>
      <c r="J242" s="304" t="str">
        <f>IF(AND(C242="keilförmig",(C251+D251&gt;0)),"keilförmig nur homogen",
IF(AND(C241="",C242&lt;&gt;"",B242&lt;&gt;B243),"Dicke " &amp; C242 &amp; " &lt;&gt; Dicke "&amp; C243,
IF(AND(C241&lt;&gt;"",C242&lt;&gt;"",RIGHT(C241,1)&lt;&gt;RIGHT(C242,1),B242&lt;&gt;B243),"Dicke " &amp; C242 &amp; " &lt;&gt; Dicke "&amp; C243,
IF(COUNTIF(b01_x,"=a1")&gt;1,"a1 nur einmal",
IF(COUNTIF(b01_x,"=b1")&gt;1,"b1 nur einmal",
IF(COUNTIF(b01_x,"=a2")&gt;1,"a2 nur einmal",
IF(COUNTIF(b01_x,"=b2")&gt;1,"b2 nur einmal","")))))))</f>
        <v/>
      </c>
      <c r="M242" s="490" t="str">
        <f t="shared" si="108"/>
        <v/>
      </c>
      <c r="N242" s="549"/>
      <c r="O242" s="550"/>
      <c r="P242" s="551"/>
      <c r="S242" s="1168" t="str">
        <f t="shared" si="109"/>
        <v/>
      </c>
      <c r="T242" s="404">
        <f t="shared" ca="1" si="110"/>
        <v>0</v>
      </c>
      <c r="U242" s="404">
        <f t="shared" ca="1" si="111"/>
        <v>0</v>
      </c>
      <c r="V242" s="404">
        <f t="shared" ca="1" si="111"/>
        <v>0</v>
      </c>
      <c r="X242" s="319">
        <f ca="1">IFERROR(IF(T242&gt;0,$H242,0)*T236,0)</f>
        <v>0</v>
      </c>
      <c r="Y242" s="319">
        <f ca="1">IFERROR(IF(LEFT($C242,1)="H",0,IF(U242&gt;0,$H242,IF($H242=0,0,VLOOKUP("H"&amp;Y237,$C238:$H249,6))))*U$104,0)</f>
        <v>0</v>
      </c>
      <c r="Z242" s="319">
        <f ca="1">IFERROR(IF(LEFT($C242,1)="H",0,IF(V242&gt;0,$H242,IF($H242=0,0,VLOOKUP("H"&amp;Z$105,$C238:$H249,6))))*V236,0)</f>
        <v>0</v>
      </c>
      <c r="AA242" s="404">
        <f t="shared" ca="1" si="112"/>
        <v>0</v>
      </c>
      <c r="AB242" s="299"/>
      <c r="AC242" s="19"/>
      <c r="AD242" s="19"/>
      <c r="AE242" s="286" t="str">
        <f>AdresseBezug(Tabellen!$O$5:$O$14)</f>
        <v>O5:O14</v>
      </c>
      <c r="AF242" s="286" t="e">
        <f>VLOOKUP(N242,Tabellen!$O$5:$R$57,3,FALSE)</f>
        <v>#N/A</v>
      </c>
      <c r="AG242" s="286" t="e">
        <f t="shared" ca="1" si="104"/>
        <v>#N/A</v>
      </c>
      <c r="AH242" s="288" t="b">
        <f t="shared" ca="1" si="105"/>
        <v>1</v>
      </c>
      <c r="AI242" s="288" t="b">
        <f t="shared" ca="1" si="106"/>
        <v>1</v>
      </c>
      <c r="AJ242" s="287">
        <f>IF(ISERROR(VLOOKUP(N242,Tabellen!$O$5:$R$58,4,FALSE)),1,VLOOKUP(N242,Tabellen!$O$5:$R$58,4,FALSE))</f>
        <v>1</v>
      </c>
      <c r="AK242" s="287">
        <f>IF(ISERROR(VLOOKUP(N242,Tabellen!$O$5:$S$58,5,FALSE)),1,VLOOKUP(N242,Tabellen!$O$5:$S$58,5,FALSE))</f>
        <v>1</v>
      </c>
    </row>
    <row r="243" spans="1:41" ht="15" hidden="1" thickTop="1" thickBot="1">
      <c r="A243" s="285">
        <v>6</v>
      </c>
      <c r="B243" s="542"/>
      <c r="C243" s="736"/>
      <c r="D243" s="543"/>
      <c r="E243" s="1219" t="str">
        <f t="shared" si="103"/>
        <v/>
      </c>
      <c r="F243" s="1219"/>
      <c r="G243" s="1220"/>
      <c r="H243" s="534">
        <f ca="1">CHOOSE(AK243,0,
VLOOKUP(P243,OFFSET(INDIRECT("Tabellen!"&amp;AG243),0,0,,2),2,FALSE),
VLOOKUP(P243,OFFSET(INDIRECT("Tabellen!"&amp;AG243),0,0,,3),3,FALSE),
VLOOKUP(P243,OFFSET(INDIRECT("Tabellen!"&amp;AG243),0,0,,3),3,FALSE),
RechLuftschichtRuhend(B243,MATCH(Bauteile!O243,Tabellen!$W$5:$W$12,0)),
VLOOKUP(O243,OFFSET(INDIRECT("Tabellen!"&amp;AF243),0,0,,7),7,FALSE))</f>
        <v>0</v>
      </c>
      <c r="I243" s="316">
        <f t="shared" ca="1" si="107"/>
        <v>0</v>
      </c>
      <c r="J243" s="304" t="str">
        <f>IF(AND(C243="keilförmig",(C251+D251&gt;0)),"keilförmig nur homogen",
IF(AND(C242="",C243&lt;&gt;"",B243&lt;&gt;B244),"Dicke " &amp; C243 &amp; " &lt;&gt; Dicke "&amp; C244,
IF(AND(C242&lt;&gt;"",C243&lt;&gt;"",RIGHT(C242,1)&lt;&gt;RIGHT(C243,1),B243&lt;&gt;B244),"Dicke " &amp; C243 &amp; " &lt;&gt; Dicke "&amp; C244,
IF(COUNTIF(b01_x,"=a1")&gt;1,"a1 nur einmal",
IF(COUNTIF(b01_x,"=b1")&gt;1,"b1 nur einmal",
IF(COUNTIF(b01_x,"=a2")&gt;1,"a2 nur einmal",
IF(COUNTIF(b01_x,"=b2")&gt;1,"b2 nur einmal","")))))))</f>
        <v/>
      </c>
      <c r="M243" s="490" t="str">
        <f t="shared" si="108"/>
        <v/>
      </c>
      <c r="N243" s="549"/>
      <c r="O243" s="550"/>
      <c r="P243" s="551"/>
      <c r="S243" s="1168" t="str">
        <f t="shared" si="109"/>
        <v/>
      </c>
      <c r="T243" s="404">
        <f t="shared" ca="1" si="110"/>
        <v>0</v>
      </c>
      <c r="U243" s="404">
        <f t="shared" ca="1" si="111"/>
        <v>0</v>
      </c>
      <c r="V243" s="404">
        <f t="shared" ca="1" si="111"/>
        <v>0</v>
      </c>
      <c r="X243" s="319">
        <f ca="1">IFERROR(IF(T243&gt;0,$H243,0)*T236,0)</f>
        <v>0</v>
      </c>
      <c r="Y243" s="319">
        <f ca="1">IFERROR(IF(LEFT($C243,1)="H",0,IF(U243&gt;0,$H243,IF($H243=0,0,VLOOKUP("H"&amp;Y237,$C238:$H249,6))))*U$104,0)</f>
        <v>0</v>
      </c>
      <c r="Z243" s="319">
        <f ca="1">IFERROR(IF(LEFT($C243,1)="H",0,IF(V243&gt;0,$H243,IF($H243=0,0,VLOOKUP("H"&amp;Z$105,$C238:$H249,6))))*V236,0)</f>
        <v>0</v>
      </c>
      <c r="AA243" s="404">
        <f t="shared" ca="1" si="112"/>
        <v>0</v>
      </c>
      <c r="AB243" s="299"/>
      <c r="AC243" s="19"/>
      <c r="AD243" s="19"/>
      <c r="AE243" s="286" t="str">
        <f>AdresseBezug(Tabellen!$O$5:$O$14)</f>
        <v>O5:O14</v>
      </c>
      <c r="AF243" s="286" t="e">
        <f>VLOOKUP(N243,Tabellen!$O$5:$R$57,3,FALSE)</f>
        <v>#N/A</v>
      </c>
      <c r="AG243" s="286" t="e">
        <f t="shared" ca="1" si="104"/>
        <v>#N/A</v>
      </c>
      <c r="AH243" s="288" t="b">
        <f t="shared" ca="1" si="105"/>
        <v>1</v>
      </c>
      <c r="AI243" s="288" t="b">
        <f t="shared" ca="1" si="106"/>
        <v>1</v>
      </c>
      <c r="AJ243" s="287">
        <f>IF(ISERROR(VLOOKUP(N243,Tabellen!$O$5:$R$58,4,FALSE)),1,VLOOKUP(N243,Tabellen!$O$5:$R$58,4,FALSE))</f>
        <v>1</v>
      </c>
      <c r="AK243" s="287">
        <f>IF(ISERROR(VLOOKUP(N243,Tabellen!$O$5:$S$58,5,FALSE)),1,VLOOKUP(N243,Tabellen!$O$5:$S$58,5,FALSE))</f>
        <v>1</v>
      </c>
    </row>
    <row r="244" spans="1:41" ht="15" hidden="1" thickTop="1" thickBot="1">
      <c r="A244" s="285">
        <v>7</v>
      </c>
      <c r="B244" s="542"/>
      <c r="C244" s="736"/>
      <c r="D244" s="543"/>
      <c r="E244" s="1219" t="str">
        <f t="shared" si="103"/>
        <v/>
      </c>
      <c r="F244" s="1219"/>
      <c r="G244" s="1220"/>
      <c r="H244" s="534">
        <f ca="1">CHOOSE(AK244,0,
VLOOKUP(P244,OFFSET(INDIRECT("Tabellen!"&amp;AG244),0,0,,2),2,FALSE),
VLOOKUP(P244,OFFSET(INDIRECT("Tabellen!"&amp;AG244),0,0,,3),3,FALSE),
VLOOKUP(P244,OFFSET(INDIRECT("Tabellen!"&amp;AG244),0,0,,3),3,FALSE),
RechLuftschichtRuhend(B244,MATCH(Bauteile!O244,Tabellen!$W$5:$W$12,0)),
VLOOKUP(O244,OFFSET(INDIRECT("Tabellen!"&amp;AF244),0,0,,7),7,FALSE))</f>
        <v>0</v>
      </c>
      <c r="I244" s="316">
        <f t="shared" ca="1" si="107"/>
        <v>0</v>
      </c>
      <c r="J244" s="304" t="str">
        <f>IF(AND(C244="keilförmig",(C251+D251&gt;0)),"keilförmig nur homogen",
IF(AND(C243="",C244&lt;&gt;"",B244&lt;&gt;B245),"Dicke " &amp; C244 &amp; " &lt;&gt; Dicke "&amp; C245,
IF(AND(C243&lt;&gt;"",C244&lt;&gt;"",RIGHT(C243,1)&lt;&gt;RIGHT(C244,1),B244&lt;&gt;B245),"Dicke " &amp; C244 &amp; " &lt;&gt; Dicke "&amp; C245,
IF(COUNTIF(b01_x,"=a1")&gt;1,"a1 nur einmal",
IF(COUNTIF(b01_x,"=b1")&gt;1,"b1 nur einmal",
IF(COUNTIF(b01_x,"=a2")&gt;1,"a2 nur einmal",
IF(COUNTIF(b01_x,"=b2")&gt;1,"b2 nur einmal","")))))))</f>
        <v/>
      </c>
      <c r="M244" s="490" t="str">
        <f t="shared" si="108"/>
        <v/>
      </c>
      <c r="N244" s="549"/>
      <c r="O244" s="550"/>
      <c r="P244" s="551"/>
      <c r="S244" s="1168" t="str">
        <f t="shared" si="109"/>
        <v/>
      </c>
      <c r="T244" s="404">
        <f t="shared" ca="1" si="110"/>
        <v>0</v>
      </c>
      <c r="U244" s="404">
        <f t="shared" ca="1" si="111"/>
        <v>0</v>
      </c>
      <c r="V244" s="404">
        <f t="shared" ca="1" si="111"/>
        <v>0</v>
      </c>
      <c r="X244" s="319">
        <f ca="1">IFERROR(IF(T244&gt;0,$H244,0)*T236,0)</f>
        <v>0</v>
      </c>
      <c r="Y244" s="319">
        <f ca="1">IFERROR(IF(LEFT($C244,1)="H",0,IF(U244&gt;0,$H244,IF($H244=0,0,VLOOKUP("H"&amp;Y237,$C238:$H249,6))))*U$104,0)</f>
        <v>0</v>
      </c>
      <c r="Z244" s="319">
        <f ca="1">IFERROR(IF(LEFT($C244,1)="H",0,IF(V244&gt;0,$H244,IF($H244=0,0,VLOOKUP("H"&amp;Z$105,$C238:$H249,6))))*V236,0)</f>
        <v>0</v>
      </c>
      <c r="AA244" s="404">
        <f t="shared" ca="1" si="112"/>
        <v>0</v>
      </c>
      <c r="AB244" s="299"/>
      <c r="AC244" s="19"/>
      <c r="AD244" s="19"/>
      <c r="AE244" s="286" t="str">
        <f>AdresseBezug(Tabellen!$O$5:$O$14)</f>
        <v>O5:O14</v>
      </c>
      <c r="AF244" s="286" t="e">
        <f>VLOOKUP(N244,Tabellen!$O$5:$R$57,3,FALSE)</f>
        <v>#N/A</v>
      </c>
      <c r="AG244" s="286" t="e">
        <f t="shared" ca="1" si="104"/>
        <v>#N/A</v>
      </c>
      <c r="AH244" s="288" t="b">
        <f t="shared" ca="1" si="105"/>
        <v>1</v>
      </c>
      <c r="AI244" s="288" t="b">
        <f t="shared" ca="1" si="106"/>
        <v>1</v>
      </c>
      <c r="AJ244" s="287">
        <f>IF(ISERROR(VLOOKUP(N244,Tabellen!$O$5:$R$58,4,FALSE)),1,VLOOKUP(N244,Tabellen!$O$5:$R$58,4,FALSE))</f>
        <v>1</v>
      </c>
      <c r="AK244" s="287">
        <f>IF(ISERROR(VLOOKUP(N244,Tabellen!$O$5:$S$58,5,FALSE)),1,VLOOKUP(N244,Tabellen!$O$5:$S$58,5,FALSE))</f>
        <v>1</v>
      </c>
    </row>
    <row r="245" spans="1:41" ht="15" hidden="1" thickTop="1" thickBot="1">
      <c r="A245" s="285">
        <v>8</v>
      </c>
      <c r="B245" s="544"/>
      <c r="C245" s="736"/>
      <c r="D245" s="545"/>
      <c r="E245" s="1219" t="str">
        <f t="shared" si="103"/>
        <v/>
      </c>
      <c r="F245" s="1219"/>
      <c r="G245" s="1220"/>
      <c r="H245" s="534">
        <f ca="1">CHOOSE(AK245,0,
VLOOKUP(P245,OFFSET(INDIRECT("Tabellen!"&amp;AG245),0,0,,2),2,FALSE),
VLOOKUP(P245,OFFSET(INDIRECT("Tabellen!"&amp;AG245),0,0,,3),3,FALSE),
VLOOKUP(P245,OFFSET(INDIRECT("Tabellen!"&amp;AG245),0,0,,3),3,FALSE),
RechLuftschichtRuhend(B245,MATCH(Bauteile!O245,Tabellen!$W$5:$W$12,0)),
VLOOKUP(O245,OFFSET(INDIRECT("Tabellen!"&amp;AF245),0,0,,7),7,FALSE))</f>
        <v>0</v>
      </c>
      <c r="I245" s="316">
        <f t="shared" ca="1" si="107"/>
        <v>0</v>
      </c>
      <c r="J245" s="304" t="str">
        <f>IF(AND(C245="keilförmig",(C251+D251&gt;0)),"keilförmig nur homogen",
IF(AND(C244="",C245&lt;&gt;"",B245&lt;&gt;B246),"Dicke " &amp; C245 &amp; " &lt;&gt; Dicke "&amp; C246,
IF(AND(C244&lt;&gt;"",C245&lt;&gt;"",RIGHT(C244,1)&lt;&gt;RIGHT(C245,1),B245&lt;&gt;B246),"Dicke " &amp; C245 &amp; " &lt;&gt; Dicke "&amp; C246,
IF(COUNTIF(b01_x,"=a1")&gt;1,"a1 nur einmal",
IF(COUNTIF(b01_x,"=b1")&gt;1,"b1 nur einmal",
IF(COUNTIF(b01_x,"=a2")&gt;1,"a2 nur einmal",
IF(COUNTIF(b01_x,"=b2")&gt;1,"b2 nur einmal","")))))))</f>
        <v/>
      </c>
      <c r="M245" s="490" t="str">
        <f t="shared" si="108"/>
        <v/>
      </c>
      <c r="N245" s="552"/>
      <c r="O245" s="553"/>
      <c r="P245" s="554"/>
      <c r="S245" s="1168" t="str">
        <f t="shared" si="109"/>
        <v/>
      </c>
      <c r="T245" s="404">
        <f t="shared" ca="1" si="110"/>
        <v>0</v>
      </c>
      <c r="U245" s="404">
        <f t="shared" ca="1" si="111"/>
        <v>0</v>
      </c>
      <c r="V245" s="404">
        <f t="shared" ca="1" si="111"/>
        <v>0</v>
      </c>
      <c r="X245" s="319">
        <f ca="1">IFERROR(IF(T245&gt;0,$H245,0)*T236,0)</f>
        <v>0</v>
      </c>
      <c r="Y245" s="319">
        <f ca="1">IFERROR(IF(LEFT($C245,1)="H",0,IF(U245&gt;0,$H245,IF($H245=0,0,VLOOKUP("H"&amp;Y237,$C238:$H249,6))))*U$104,0)</f>
        <v>0</v>
      </c>
      <c r="Z245" s="319">
        <f ca="1">IFERROR(IF(LEFT($C245,1)="H",0,IF(V245&gt;0,$H245,IF($H245=0,0,VLOOKUP("H"&amp;Z$105,$C238:$H249,6))))*V236,0)</f>
        <v>0</v>
      </c>
      <c r="AA245" s="404">
        <f t="shared" ca="1" si="112"/>
        <v>0</v>
      </c>
      <c r="AB245" s="299"/>
      <c r="AC245" s="19"/>
      <c r="AD245" s="19"/>
      <c r="AE245" s="286" t="str">
        <f>AdresseBezug(Tabellen!$O$5:$O$14)</f>
        <v>O5:O14</v>
      </c>
      <c r="AF245" s="286" t="e">
        <f>VLOOKUP(N245,Tabellen!$O$5:$R$57,3,FALSE)</f>
        <v>#N/A</v>
      </c>
      <c r="AG245" s="286" t="e">
        <f t="shared" ca="1" si="104"/>
        <v>#N/A</v>
      </c>
      <c r="AH245" s="288" t="b">
        <f t="shared" ca="1" si="105"/>
        <v>1</v>
      </c>
      <c r="AI245" s="288" t="b">
        <f t="shared" ca="1" si="106"/>
        <v>1</v>
      </c>
      <c r="AJ245" s="287">
        <f>IF(ISERROR(VLOOKUP(N245,Tabellen!$O$5:$R$58,4,FALSE)),1,VLOOKUP(N245,Tabellen!$O$5:$R$58,4,FALSE))</f>
        <v>1</v>
      </c>
      <c r="AK245" s="287">
        <f>IF(ISERROR(VLOOKUP(N245,Tabellen!$O$5:$S$58,5,FALSE)),1,VLOOKUP(N245,Tabellen!$O$5:$S$58,5,FALSE))</f>
        <v>1</v>
      </c>
    </row>
    <row r="246" spans="1:41" ht="15" hidden="1" thickTop="1" thickBot="1">
      <c r="A246" s="285">
        <v>9</v>
      </c>
      <c r="B246" s="544"/>
      <c r="C246" s="736"/>
      <c r="D246" s="545"/>
      <c r="E246" s="1219" t="str">
        <f t="shared" si="103"/>
        <v/>
      </c>
      <c r="F246" s="1219"/>
      <c r="G246" s="1220"/>
      <c r="H246" s="534">
        <f ca="1">CHOOSE(AK246,0,
VLOOKUP(P246,OFFSET(INDIRECT("Tabellen!"&amp;AG246),0,0,,2),2,FALSE),
VLOOKUP(P246,OFFSET(INDIRECT("Tabellen!"&amp;AG246),0,0,,3),3,FALSE),
VLOOKUP(P246,OFFSET(INDIRECT("Tabellen!"&amp;AG246),0,0,,3),3,FALSE),
RechLuftschichtRuhend(B246,MATCH(Bauteile!O246,Tabellen!$W$5:$W$12,0)),
VLOOKUP(O246,OFFSET(INDIRECT("Tabellen!"&amp;AF246),0,0,,7),7,FALSE))</f>
        <v>0</v>
      </c>
      <c r="I246" s="316">
        <f t="shared" ca="1" si="107"/>
        <v>0</v>
      </c>
      <c r="J246" s="304" t="str">
        <f>IF(AND(C246="keilförmig",(C251+D251&gt;0)),"keilförmig nur homogen",
IF(AND(C245="",C246&lt;&gt;"",B246&lt;&gt;B247),"Dicke " &amp; C246 &amp; " &lt;&gt; Dicke "&amp; C247,
IF(AND(C245&lt;&gt;"",C246&lt;&gt;"",RIGHT(C245,1)&lt;&gt;RIGHT(C246,1),B246&lt;&gt;B247),"Dicke " &amp; C246 &amp; " &lt;&gt; Dicke "&amp; C247,
IF(COUNTIF(b01_x,"=a1")&gt;1,"a1 nur einmal",
IF(COUNTIF(b01_x,"=b1")&gt;1,"b1 nur einmal",
IF(COUNTIF(b01_x,"=a2")&gt;1,"a2 nur einmal",
IF(COUNTIF(b01_x,"=b2")&gt;1,"b2 nur einmal","")))))))</f>
        <v/>
      </c>
      <c r="M246" s="490" t="str">
        <f t="shared" si="108"/>
        <v/>
      </c>
      <c r="N246" s="552"/>
      <c r="O246" s="553"/>
      <c r="P246" s="554"/>
      <c r="S246" s="1168" t="str">
        <f t="shared" si="109"/>
        <v/>
      </c>
      <c r="T246" s="404">
        <f t="shared" ca="1" si="110"/>
        <v>0</v>
      </c>
      <c r="U246" s="404">
        <f t="shared" ca="1" si="111"/>
        <v>0</v>
      </c>
      <c r="V246" s="404">
        <f t="shared" ca="1" si="111"/>
        <v>0</v>
      </c>
      <c r="X246" s="319">
        <f ca="1">IFERROR(IF(T246&gt;0,$H246,0)*T236,0)</f>
        <v>0</v>
      </c>
      <c r="Y246" s="319">
        <f ca="1">IFERROR(IF(LEFT($C246,1)="H",0,IF(U246&gt;0,$H246,IF($H246=0,0,VLOOKUP("H"&amp;Y237,$C238:$H249,6))))*U$104,0)</f>
        <v>0</v>
      </c>
      <c r="Z246" s="319">
        <f ca="1">IFERROR(IF(LEFT($C246,1)="H",0,IF(V246&gt;0,$H246,IF($H246=0,0,VLOOKUP("H"&amp;Z$105,$C238:$H249,6))))*V236,0)</f>
        <v>0</v>
      </c>
      <c r="AA246" s="404">
        <f t="shared" ca="1" si="112"/>
        <v>0</v>
      </c>
      <c r="AB246" s="299"/>
      <c r="AC246" s="19"/>
      <c r="AD246" s="19"/>
      <c r="AE246" s="286" t="str">
        <f>AdresseBezug(Tabellen!$O$5:$O$14)</f>
        <v>O5:O14</v>
      </c>
      <c r="AF246" s="286" t="e">
        <f>VLOOKUP(N246,Tabellen!$O$5:$R$57,3,FALSE)</f>
        <v>#N/A</v>
      </c>
      <c r="AG246" s="286" t="e">
        <f t="shared" ca="1" si="104"/>
        <v>#N/A</v>
      </c>
      <c r="AH246" s="288" t="b">
        <f t="shared" ca="1" si="105"/>
        <v>1</v>
      </c>
      <c r="AI246" s="288" t="b">
        <f t="shared" ca="1" si="106"/>
        <v>1</v>
      </c>
      <c r="AJ246" s="287">
        <f>IF(ISERROR(VLOOKUP(N246,Tabellen!$O$5:$R$58,4,FALSE)),1,VLOOKUP(N246,Tabellen!$O$5:$R$58,4,FALSE))</f>
        <v>1</v>
      </c>
      <c r="AK246" s="287">
        <f>IF(ISERROR(VLOOKUP(N246,Tabellen!$O$5:$S$58,5,FALSE)),1,VLOOKUP(N246,Tabellen!$O$5:$S$58,5,FALSE))</f>
        <v>1</v>
      </c>
    </row>
    <row r="247" spans="1:41" ht="15" hidden="1" thickTop="1" thickBot="1">
      <c r="A247" s="285">
        <v>10</v>
      </c>
      <c r="B247" s="544"/>
      <c r="C247" s="736"/>
      <c r="D247" s="545"/>
      <c r="E247" s="1219" t="str">
        <f t="shared" si="103"/>
        <v/>
      </c>
      <c r="F247" s="1219"/>
      <c r="G247" s="1220"/>
      <c r="H247" s="534">
        <f ca="1">CHOOSE(AK247,0,
VLOOKUP(P247,OFFSET(INDIRECT("Tabellen!"&amp;AG247),0,0,,2),2,FALSE),
VLOOKUP(P247,OFFSET(INDIRECT("Tabellen!"&amp;AG247),0,0,,3),3,FALSE),
VLOOKUP(P247,OFFSET(INDIRECT("Tabellen!"&amp;AG247),0,0,,3),3,FALSE),
RechLuftschichtRuhend(B247,MATCH(Bauteile!O247,Tabellen!$W$5:$W$12,0)),
VLOOKUP(O247,OFFSET(INDIRECT("Tabellen!"&amp;AF247),0,0,,7),7,FALSE))</f>
        <v>0</v>
      </c>
      <c r="I247" s="316">
        <f t="shared" ca="1" si="107"/>
        <v>0</v>
      </c>
      <c r="J247" s="304" t="str">
        <f>IF(AND(C247="keilförmig",(C251+D251&gt;0)),"keilförmig nur homogen",
IF(AND(C246="",C247&lt;&gt;"",B247&lt;&gt;B248),"Dicke " &amp; C247 &amp; " &lt;&gt; Dicke "&amp; C248,
IF(AND(C246&lt;&gt;"",C247&lt;&gt;"",RIGHT(C246,1)&lt;&gt;RIGHT(C247,1),B247&lt;&gt;B248),"Dicke " &amp; C247 &amp; " &lt;&gt; Dicke "&amp; C248,
IF(COUNTIF(b01_x,"=a1")&gt;1,"a1 nur einmal",
IF(COUNTIF(b01_x,"=b1")&gt;1,"b1 nur einmal",
IF(COUNTIF(b01_x,"=a2")&gt;1,"a2 nur einmal",
IF(COUNTIF(b01_x,"=b2")&gt;1,"b2 nur einmal","")))))))</f>
        <v/>
      </c>
      <c r="M247" s="490" t="str">
        <f t="shared" si="108"/>
        <v/>
      </c>
      <c r="N247" s="552"/>
      <c r="O247" s="553"/>
      <c r="P247" s="554"/>
      <c r="S247" s="1168" t="str">
        <f t="shared" si="109"/>
        <v/>
      </c>
      <c r="T247" s="404">
        <f t="shared" ca="1" si="110"/>
        <v>0</v>
      </c>
      <c r="U247" s="404">
        <f t="shared" ca="1" si="111"/>
        <v>0</v>
      </c>
      <c r="V247" s="404">
        <f t="shared" ca="1" si="111"/>
        <v>0</v>
      </c>
      <c r="X247" s="319">
        <f ca="1">IFERROR(IF(T247&gt;0,$H247,0)*T236,0)</f>
        <v>0</v>
      </c>
      <c r="Y247" s="319">
        <f ca="1">IFERROR(IF(LEFT($C247,1)="H",0,IF(U247&gt;0,$H247,IF($H247=0,0,VLOOKUP("H"&amp;Y237,$C238:$H249,6))))*U$104,0)</f>
        <v>0</v>
      </c>
      <c r="Z247" s="319">
        <f ca="1">IFERROR(IF(LEFT($C247,1)="H",0,IF(V247&gt;0,$H247,IF($H247=0,0,VLOOKUP("H"&amp;Z$105,$C238:$H249,6))))*V236,0)</f>
        <v>0</v>
      </c>
      <c r="AA247" s="404">
        <f t="shared" ca="1" si="112"/>
        <v>0</v>
      </c>
      <c r="AB247" s="299"/>
      <c r="AC247" s="19"/>
      <c r="AD247" s="19"/>
      <c r="AE247" s="286" t="str">
        <f>AdresseBezug(Tabellen!$O$5:$O$14)</f>
        <v>O5:O14</v>
      </c>
      <c r="AF247" s="286" t="e">
        <f>VLOOKUP(N247,Tabellen!$O$5:$R$57,3,FALSE)</f>
        <v>#N/A</v>
      </c>
      <c r="AG247" s="286" t="e">
        <f t="shared" ca="1" si="104"/>
        <v>#N/A</v>
      </c>
      <c r="AH247" s="288" t="b">
        <f t="shared" ca="1" si="105"/>
        <v>1</v>
      </c>
      <c r="AI247" s="288" t="b">
        <f t="shared" ca="1" si="106"/>
        <v>1</v>
      </c>
      <c r="AJ247" s="287">
        <f>IF(ISERROR(VLOOKUP(N247,Tabellen!$O$5:$R$58,4,FALSE)),1,VLOOKUP(N247,Tabellen!$O$5:$R$58,4,FALSE))</f>
        <v>1</v>
      </c>
      <c r="AK247" s="287">
        <f>IF(ISERROR(VLOOKUP(N247,Tabellen!$O$5:$S$58,5,FALSE)),1,VLOOKUP(N247,Tabellen!$O$5:$S$58,5,FALSE))</f>
        <v>1</v>
      </c>
    </row>
    <row r="248" spans="1:41" ht="15" hidden="1" thickTop="1" thickBot="1">
      <c r="A248" s="285">
        <v>11</v>
      </c>
      <c r="B248" s="544"/>
      <c r="C248" s="736"/>
      <c r="D248" s="545"/>
      <c r="E248" s="1219" t="str">
        <f t="shared" si="103"/>
        <v/>
      </c>
      <c r="F248" s="1219"/>
      <c r="G248" s="1220"/>
      <c r="H248" s="534">
        <f ca="1">CHOOSE(AK248,0,
VLOOKUP(P248,OFFSET(INDIRECT("Tabellen!"&amp;AG248),0,0,,2),2,FALSE),
VLOOKUP(P248,OFFSET(INDIRECT("Tabellen!"&amp;AG248),0,0,,3),3,FALSE),
VLOOKUP(P248,OFFSET(INDIRECT("Tabellen!"&amp;AG248),0,0,,3),3,FALSE),
RechLuftschichtRuhend(B248,MATCH(Bauteile!O248,Tabellen!$W$5:$W$12,0)),
VLOOKUP(O248,OFFSET(INDIRECT("Tabellen!"&amp;AF248),0,0,,7),7,FALSE))</f>
        <v>0</v>
      </c>
      <c r="I248" s="316">
        <f t="shared" ca="1" si="107"/>
        <v>0</v>
      </c>
      <c r="J248" s="304" t="str">
        <f>IF(AND(C248="keilförmig",(C251+D251&gt;0)),"keilförmig nur homogen",
IF(AND(C247="",C248&lt;&gt;"",B248&lt;&gt;B249),"Dicke " &amp; C248 &amp; " &lt;&gt; Dicke "&amp; C249,
IF(AND(C247&lt;&gt;"",C248&lt;&gt;"",RIGHT(C247,1)&lt;&gt;RIGHT(C248,1),B248&lt;&gt;B249),"Dicke " &amp; C248 &amp; " &lt;&gt; Dicke "&amp; C249,
IF(COUNTIF(b01_x,"=a1")&gt;1,"a1 nur einmal",
IF(COUNTIF(b01_x,"=b1")&gt;1,"b1 nur einmal",
IF(COUNTIF(b01_x,"=a2")&gt;1,"a2 nur einmal",
IF(COUNTIF(b01_x,"=b2")&gt;1,"b2 nur einmal","")))))))</f>
        <v/>
      </c>
      <c r="M248" s="490" t="str">
        <f t="shared" si="108"/>
        <v/>
      </c>
      <c r="N248" s="552"/>
      <c r="O248" s="553"/>
      <c r="P248" s="554"/>
      <c r="S248" s="1168" t="str">
        <f t="shared" si="109"/>
        <v/>
      </c>
      <c r="T248" s="404">
        <f t="shared" ca="1" si="110"/>
        <v>0</v>
      </c>
      <c r="U248" s="404">
        <f t="shared" ca="1" si="111"/>
        <v>0</v>
      </c>
      <c r="V248" s="404">
        <f t="shared" ca="1" si="111"/>
        <v>0</v>
      </c>
      <c r="X248" s="319">
        <f ca="1">IFERROR(IF(T248&gt;0,$H248,0)*T236,0)</f>
        <v>0</v>
      </c>
      <c r="Y248" s="319">
        <f ca="1">IFERROR(IF(LEFT($C248,1)="H",0,IF(U248&gt;0,$H248,IF($H248=0,0,VLOOKUP("H"&amp;Y237,$C238:$H249,6))))*U$104,0)</f>
        <v>0</v>
      </c>
      <c r="Z248" s="319">
        <f ca="1">IFERROR(IF(LEFT($C248,1)="H",0,IF(V248&gt;0,$H248,IF($H248=0,0,VLOOKUP("H"&amp;Z$105,$C238:$H249,6))))*V236,0)</f>
        <v>0</v>
      </c>
      <c r="AA248" s="404">
        <f t="shared" ca="1" si="112"/>
        <v>0</v>
      </c>
      <c r="AB248" s="299"/>
      <c r="AC248" s="19"/>
      <c r="AD248" s="19"/>
      <c r="AE248" s="286" t="str">
        <f>AdresseBezug(Tabellen!$O$5:$O$14)</f>
        <v>O5:O14</v>
      </c>
      <c r="AF248" s="286" t="e">
        <f>VLOOKUP(N248,Tabellen!$O$5:$R$57,3,FALSE)</f>
        <v>#N/A</v>
      </c>
      <c r="AG248" s="286" t="e">
        <f t="shared" ca="1" si="104"/>
        <v>#N/A</v>
      </c>
      <c r="AH248" s="288" t="b">
        <f t="shared" ca="1" si="105"/>
        <v>1</v>
      </c>
      <c r="AI248" s="288" t="b">
        <f t="shared" ca="1" si="106"/>
        <v>1</v>
      </c>
      <c r="AJ248" s="287">
        <f>IF(ISERROR(VLOOKUP(N248,Tabellen!$O$5:$R$58,4,FALSE)),1,VLOOKUP(N248,Tabellen!$O$5:$R$58,4,FALSE))</f>
        <v>1</v>
      </c>
      <c r="AK248" s="287">
        <f>IF(ISERROR(VLOOKUP(N248,Tabellen!$O$5:$S$58,5,FALSE)),1,VLOOKUP(N248,Tabellen!$O$5:$S$58,5,FALSE))</f>
        <v>1</v>
      </c>
    </row>
    <row r="249" spans="1:41" ht="15" hidden="1" thickTop="1" thickBot="1">
      <c r="A249" s="285">
        <v>12</v>
      </c>
      <c r="B249" s="544"/>
      <c r="C249" s="736"/>
      <c r="D249" s="545"/>
      <c r="E249" s="302" t="str">
        <f t="shared" si="103"/>
        <v/>
      </c>
      <c r="F249" s="302"/>
      <c r="G249" s="303"/>
      <c r="H249" s="534">
        <f ca="1">CHOOSE(AK249,0,
VLOOKUP(P249,OFFSET(INDIRECT("Tabellen!"&amp;AG249),0,0,,2),2,FALSE),
VLOOKUP(P249,OFFSET(INDIRECT("Tabellen!"&amp;AG249),0,0,,3),3,FALSE),
VLOOKUP(P249,OFFSET(INDIRECT("Tabellen!"&amp;AG249),0,0,,3),3,FALSE),
RechLuftschichtRuhend(B249,MATCH(Bauteile!O249,Tabellen!$W$5:$W$12,0)),
VLOOKUP(O249,OFFSET(INDIRECT("Tabellen!"&amp;AF249),0,0,,7),7,FALSE))</f>
        <v>0</v>
      </c>
      <c r="I249" s="316">
        <f t="shared" ca="1" si="107"/>
        <v>0</v>
      </c>
      <c r="J249" s="304" t="str">
        <f>IF(AND(C249="keilförmig",(C251+D251&gt;0)),"keilförmig nur homogen",
IF(AND(C248="",C249&lt;&gt;"",B249&lt;&gt;B250),"Dicke " &amp; C249 &amp; " &lt;&gt; Dicke "&amp; C250,
IF(AND(C248&lt;&gt;"",C249&lt;&gt;"",RIGHT(C248,1)&lt;&gt;RIGHT(C249,1),B249&lt;&gt;B250),"Dicke " &amp; C249 &amp; " &lt;&gt; Dicke "&amp; C250,
IF(COUNTIF(b01_x,"=a1")&gt;1,"a1 nur einmal",
IF(COUNTIF(b01_x,"=b1")&gt;1,"b1 nur einmal",
IF(COUNTIF(b01_x,"=a2")&gt;1,"a2 nur einmal",
IF(COUNTIF(b01_x,"=b2")&gt;1,"b2 nur einmal","")))))))</f>
        <v/>
      </c>
      <c r="M249" s="490" t="str">
        <f t="shared" si="108"/>
        <v/>
      </c>
      <c r="N249" s="552"/>
      <c r="O249" s="553"/>
      <c r="P249" s="554"/>
      <c r="S249" s="1168" t="str">
        <f t="shared" si="109"/>
        <v/>
      </c>
      <c r="T249" s="404">
        <f t="shared" ca="1" si="110"/>
        <v>0</v>
      </c>
      <c r="U249" s="404">
        <f t="shared" ca="1" si="111"/>
        <v>0</v>
      </c>
      <c r="V249" s="404">
        <f t="shared" ca="1" si="111"/>
        <v>0</v>
      </c>
      <c r="X249" s="319">
        <f ca="1">IFERROR(IF(T249&gt;0,$H249,0)*T236,0)</f>
        <v>0</v>
      </c>
      <c r="Y249" s="319">
        <f ca="1">IFERROR(IF(LEFT($C249,1)="H",0,IF(U249&gt;0,$H249,IF($H249=0,0,VLOOKUP("H"&amp;Y237,$C238:$H249,6))))*U$104,0)</f>
        <v>0</v>
      </c>
      <c r="Z249" s="319">
        <f ca="1">IFERROR(IF(LEFT($C249,1)="H",0,IF(V249&gt;0,$H249,IF($H249=0,0,VLOOKUP("H"&amp;Z$105,$C238:$H249,6))))*V236,0)</f>
        <v>0</v>
      </c>
      <c r="AA249" s="404">
        <f t="shared" ca="1" si="112"/>
        <v>0</v>
      </c>
      <c r="AB249" s="299"/>
      <c r="AC249" s="19"/>
      <c r="AD249" s="19"/>
      <c r="AE249" s="286" t="str">
        <f>AdresseBezug(Tabellen!$O$5:$O$14)</f>
        <v>O5:O14</v>
      </c>
      <c r="AF249" s="286" t="e">
        <f>VLOOKUP(N249,Tabellen!$O$5:$R$57,3,FALSE)</f>
        <v>#N/A</v>
      </c>
      <c r="AG249" s="286" t="e">
        <f t="shared" ca="1" si="104"/>
        <v>#N/A</v>
      </c>
      <c r="AH249" s="288" t="b">
        <f t="shared" ca="1" si="105"/>
        <v>1</v>
      </c>
      <c r="AI249" s="288" t="b">
        <f t="shared" ca="1" si="106"/>
        <v>1</v>
      </c>
      <c r="AJ249" s="287">
        <f>IF(ISERROR(VLOOKUP(N249,Tabellen!$O$5:$R$58,4,FALSE)),1,VLOOKUP(N249,Tabellen!$O$5:$R$58,4,FALSE))</f>
        <v>1</v>
      </c>
      <c r="AK249" s="287">
        <f>IF(ISERROR(VLOOKUP(N249,Tabellen!$O$5:$S$58,5,FALSE)),1,VLOOKUP(N249,Tabellen!$O$5:$S$58,5,FALSE))</f>
        <v>1</v>
      </c>
    </row>
    <row r="250" spans="1:41" ht="14.4" hidden="1" thickTop="1">
      <c r="A250" s="281" t="s">
        <v>812</v>
      </c>
      <c r="B250" s="284"/>
      <c r="C250" s="409" t="s">
        <v>1944</v>
      </c>
      <c r="D250" s="409" t="s">
        <v>1945</v>
      </c>
      <c r="E250" s="301">
        <f>E237</f>
        <v>0</v>
      </c>
      <c r="F250" s="301"/>
      <c r="G250" s="301"/>
      <c r="H250" s="284"/>
      <c r="I250" s="154"/>
      <c r="J250" s="315">
        <f>IF(E250&gt;0,VLOOKUP(E250,Tabellen!$W$5:$Y$12,3,FALSE),0)</f>
        <v>0</v>
      </c>
      <c r="M250" s="57"/>
      <c r="Q250" s="57"/>
      <c r="R250" s="57"/>
      <c r="S250" s="295" t="s">
        <v>812</v>
      </c>
      <c r="T250" s="403">
        <f>IF(T236&gt;0,$J250,0)</f>
        <v>0</v>
      </c>
      <c r="U250" s="403">
        <f>IF(U236&gt;0,$J250,0)</f>
        <v>0</v>
      </c>
      <c r="V250" s="403">
        <f>IF(V236&gt;0,$J250,0)</f>
        <v>0</v>
      </c>
      <c r="X250" s="320"/>
      <c r="Y250" s="320"/>
      <c r="Z250" s="320"/>
      <c r="AA250" s="403">
        <f>J250</f>
        <v>0</v>
      </c>
      <c r="AB250" s="299"/>
      <c r="AC250" s="19"/>
      <c r="AD250" s="19"/>
      <c r="AE250" s="713" t="s">
        <v>2459</v>
      </c>
      <c r="AF250" s="713"/>
      <c r="AG250" s="713"/>
      <c r="AH250" s="713" t="s">
        <v>1942</v>
      </c>
      <c r="AI250" s="713"/>
      <c r="AJ250" s="713"/>
      <c r="AL250" s="713" t="s">
        <v>2460</v>
      </c>
      <c r="AM250" s="714"/>
    </row>
    <row r="251" spans="1:41" ht="15" hidden="1">
      <c r="A251" s="364" t="s">
        <v>342</v>
      </c>
      <c r="B251" s="317">
        <f>SUMIF(C238:C249,"",B238:B249)+SUMIF(C238:C249,"G1",B238:B249)+SUMIF(C238:C249,"G2",B238:B249)</f>
        <v>0</v>
      </c>
      <c r="C251" s="317">
        <f>SUMIF(C238:C249,"G1",D238:D249)+SUMIF(C238:C249,"H1",D238:D249)</f>
        <v>0</v>
      </c>
      <c r="D251" s="317">
        <f>SUMIF(C238:C249,"G2",D238:D249)+SUMIF(C238:C249,"H2",D238:D249)</f>
        <v>0</v>
      </c>
      <c r="E251" s="532" t="s">
        <v>2514</v>
      </c>
      <c r="F251" s="533" t="str">
        <f>IF(AND(C251&gt;0,D251=0),"mit inhomogen Schichten (1 Ebene)",
IF(AND(C251&gt;0,D251&gt;0),"mit inhomogen Schichten (2 Ebenen, um 90° gedreht)",
IF(SUM(M238:M249)&gt;0,"mit keilförmiger Schicht","mit homogenen Schichten")))</f>
        <v>mit homogenen Schichten</v>
      </c>
      <c r="G251" s="283"/>
      <c r="H251" s="152"/>
      <c r="I251" s="152"/>
      <c r="J251" s="274"/>
      <c r="K251" s="46" t="str">
        <f>IF(OR(C251&gt;0,D251&gt;0),AK251,IF(SUM(M238:M249)&gt;0,AO251,""))</f>
        <v/>
      </c>
      <c r="L251" s="46"/>
      <c r="M251" s="46"/>
      <c r="N251" s="46"/>
      <c r="O251" s="46"/>
      <c r="P251" s="46"/>
      <c r="Q251" s="57"/>
      <c r="R251" s="57"/>
      <c r="S251" s="295" t="s">
        <v>3427</v>
      </c>
      <c r="T251" s="404">
        <f ca="1">SUM(T237:T250)</f>
        <v>0</v>
      </c>
      <c r="U251" s="404">
        <f ca="1">SUM(U237:U250)</f>
        <v>0</v>
      </c>
      <c r="V251" s="404">
        <f ca="1">SUM(V237:V250)</f>
        <v>0</v>
      </c>
      <c r="X251" s="320">
        <f ca="1">SUM(X238:X249)</f>
        <v>0</v>
      </c>
      <c r="Y251" s="320">
        <f ca="1">SUM(Y238:Y249)</f>
        <v>0</v>
      </c>
      <c r="Z251" s="320">
        <f ca="1">SUM(Z238:Z249)</f>
        <v>0</v>
      </c>
      <c r="AA251" s="405">
        <f ca="1">SUM(AA237:AA250)</f>
        <v>0</v>
      </c>
      <c r="AB251" s="297" t="s">
        <v>3417</v>
      </c>
      <c r="AC251" s="19"/>
      <c r="AD251" s="19"/>
      <c r="AK251" s="207" t="s">
        <v>3433</v>
      </c>
      <c r="AO251" s="207" t="s">
        <v>955</v>
      </c>
    </row>
    <row r="252" spans="1:41" ht="15" hidden="1">
      <c r="A252" s="275"/>
      <c r="B252" s="276" t="str">
        <f>IF(OR(C251&gt;0,D251&gt;0),AH252,IF(SUM(M238:M249)&gt;0,AL252,AE252))</f>
        <v>Wärmedurchgangswiderstand</v>
      </c>
      <c r="C252" s="276"/>
      <c r="G252" s="37"/>
      <c r="H252" s="521" t="str">
        <f>IF(OR(C251&gt;0,D251&gt;0),AI252,IF(SUM(M238:M249)&gt;0,AM252,AF252))</f>
        <v>R = Rsi + ∑ di / λi + Rse =</v>
      </c>
      <c r="I252" s="513">
        <f ca="1">IF(OR(C251&gt;0,D251&gt;0),AJ252,IF(SUM(M238:M249)&gt;0,AN252,AG252))</f>
        <v>0</v>
      </c>
      <c r="J252" s="277" t="s">
        <v>809</v>
      </c>
      <c r="K252" s="1226" t="str">
        <f>IF(OR(C251&gt;0,D251&gt;0),AK252,IF(SUM(M238:M249)&gt;0,AO252,""))</f>
        <v/>
      </c>
      <c r="L252" s="1227"/>
      <c r="M252" s="1227"/>
      <c r="N252" s="1227"/>
      <c r="O252" s="1227"/>
      <c r="P252" s="1227"/>
      <c r="Q252" s="57"/>
      <c r="R252" s="57"/>
      <c r="S252" s="1170" t="s">
        <v>3428</v>
      </c>
      <c r="T252" s="404">
        <f ca="1">IFERROR(T236/T251,0)</f>
        <v>0</v>
      </c>
      <c r="U252" s="404">
        <f t="shared" ref="U252:V252" ca="1" si="113">IFERROR(U236/U251,0)</f>
        <v>0</v>
      </c>
      <c r="V252" s="404">
        <f t="shared" ca="1" si="113"/>
        <v>0</v>
      </c>
      <c r="X252" s="321"/>
      <c r="Y252" s="321"/>
      <c r="Z252" s="321"/>
      <c r="AA252" s="322"/>
      <c r="AB252" s="299"/>
      <c r="AC252" s="19"/>
      <c r="AD252" s="19"/>
      <c r="AE252" s="711" t="s">
        <v>2461</v>
      </c>
      <c r="AF252" s="710" t="s">
        <v>2466</v>
      </c>
      <c r="AG252" s="715">
        <f ca="1">T251</f>
        <v>0</v>
      </c>
      <c r="AH252" s="711" t="s">
        <v>2468</v>
      </c>
      <c r="AI252" s="710" t="s">
        <v>3429</v>
      </c>
      <c r="AJ252" s="715">
        <f ca="1">IF(SUM(T252:V252)&gt;0,1/SUM(T252:V252),0)</f>
        <v>0</v>
      </c>
      <c r="AK252" s="207" t="s">
        <v>2464</v>
      </c>
      <c r="AL252" s="711" t="s">
        <v>2470</v>
      </c>
      <c r="AM252" s="710" t="s">
        <v>2485</v>
      </c>
      <c r="AN252" s="715" t="str">
        <f>IF(SUM(M238:M249)&gt;0,SUM(M238:M249),"")</f>
        <v/>
      </c>
      <c r="AO252" s="207" t="s">
        <v>2416</v>
      </c>
    </row>
    <row r="253" spans="1:41" ht="15" hidden="1">
      <c r="A253" s="275"/>
      <c r="B253" s="276" t="str">
        <f>IF(OR(C251&gt;0,D251&gt;0),AH253,IF(SUM(M238:M249)&gt;0,AL253,AE253))</f>
        <v xml:space="preserve"> </v>
      </c>
      <c r="G253" s="276"/>
      <c r="H253" s="521" t="str">
        <f>IF(OR(C251&gt;0,D251&gt;0),AI253,IF(SUM(M238:M249)&gt;0,AM253,AF253))</f>
        <v xml:space="preserve"> </v>
      </c>
      <c r="I253" s="513" t="str">
        <f>IF(OR(C251&gt;0,D251&gt;0),AJ253,IF(SUM(M238:M249)&gt;0,AN253,AG253))</f>
        <v xml:space="preserve"> </v>
      </c>
      <c r="J253" s="277" t="s">
        <v>809</v>
      </c>
      <c r="K253" s="1226"/>
      <c r="L253" s="1227"/>
      <c r="M253" s="1227"/>
      <c r="N253" s="1227"/>
      <c r="O253" s="1227"/>
      <c r="P253" s="1227"/>
      <c r="Q253" s="57"/>
      <c r="R253" s="57"/>
      <c r="S253" s="297" t="s">
        <v>3426</v>
      </c>
      <c r="T253" s="405"/>
      <c r="U253" s="405"/>
      <c r="V253" s="405">
        <f ca="1">IF(SUM(T252:V252)&gt;0,1/SUM(T252:V252),0)</f>
        <v>0</v>
      </c>
      <c r="AC253" s="19"/>
      <c r="AD253" s="19"/>
      <c r="AE253" s="711" t="s">
        <v>955</v>
      </c>
      <c r="AF253" s="710" t="s">
        <v>955</v>
      </c>
      <c r="AG253" s="715" t="s">
        <v>955</v>
      </c>
      <c r="AH253" s="711" t="s">
        <v>2465</v>
      </c>
      <c r="AI253" s="710" t="s">
        <v>3430</v>
      </c>
      <c r="AJ253" s="715">
        <f ca="1">AA251</f>
        <v>0</v>
      </c>
      <c r="AK253" s="207" t="s">
        <v>955</v>
      </c>
      <c r="AL253" s="711" t="s">
        <v>2469</v>
      </c>
      <c r="AM253" s="710" t="s">
        <v>2467</v>
      </c>
      <c r="AN253" s="715" t="str">
        <f>IF(SUM(M238:M249)&gt;0,SUM(I237:J250),"")</f>
        <v/>
      </c>
      <c r="AO253" s="207" t="s">
        <v>955</v>
      </c>
    </row>
    <row r="254" spans="1:41" ht="15" hidden="1">
      <c r="A254" s="280"/>
      <c r="B254" s="281" t="str">
        <f>IF(OR(C251&gt;0,D251&gt;0),AH254,IF(SUM(M238:M249)&gt;0,AL254,AE254))</f>
        <v>Wärmedurchgangskoeffizient</v>
      </c>
      <c r="C254" s="154"/>
      <c r="D254" s="154"/>
      <c r="E254" s="154"/>
      <c r="F254" s="154"/>
      <c r="G254" s="154"/>
      <c r="H254" s="522" t="str">
        <f>IF(OR(C251&gt;0,D251&gt;0),AI254,IF(SUM(M238:M249)&gt;0,AM254,AF254))</f>
        <v>U = 1 / R =</v>
      </c>
      <c r="I254" s="514" t="str">
        <f ca="1">IF(OR(C251&gt;0,D251&gt;0),AJ254,IF(SUM(M238:M249)&gt;0,AN254,AG254))</f>
        <v/>
      </c>
      <c r="J254" s="282" t="s">
        <v>815</v>
      </c>
      <c r="K254" s="46" t="str">
        <f>IF(OR(C251&gt;0,D251&gt;0),AK254,IF(SUM(M238:M249)&gt;0,AO254,""))</f>
        <v/>
      </c>
      <c r="L254" s="46"/>
      <c r="M254" s="46"/>
      <c r="N254" s="46"/>
      <c r="O254" s="46"/>
      <c r="P254" s="46"/>
      <c r="Q254" s="57"/>
      <c r="R254" s="57"/>
      <c r="T254" s="292"/>
      <c r="U254" s="57"/>
      <c r="V254" s="57"/>
      <c r="W254" s="57"/>
      <c r="X254" s="292"/>
      <c r="Y254" s="292"/>
      <c r="Z254" s="292"/>
      <c r="AC254" s="19"/>
      <c r="AD254" s="19"/>
      <c r="AE254" s="711" t="s">
        <v>813</v>
      </c>
      <c r="AF254" s="710" t="s">
        <v>2463</v>
      </c>
      <c r="AG254" s="715" t="str">
        <f ca="1">IF(AG252&gt;0,1/AG252,"")</f>
        <v/>
      </c>
      <c r="AH254" s="711" t="s">
        <v>813</v>
      </c>
      <c r="AI254" s="710" t="s">
        <v>3431</v>
      </c>
      <c r="AJ254" s="715">
        <f ca="1">IF((AJ252+AJ253)&gt;0,2/(AJ252+AJ253),0)</f>
        <v>0</v>
      </c>
      <c r="AK254" s="207" t="str">
        <f>"Hier: Rtot;upper / Rtot;lower = "&amp; IF(AND(I253&gt;0,(C251+D251)&gt;0),TEXT(I252/I253,"0,00")&amp;IF(I252/I253&lt;=1.5," &lt;= 1,5, d.h. zulässig"," &gt; 1,5, d.h. nicht zulässig"),"nicht relevant")</f>
        <v>Hier: Rtot;upper / Rtot;lower = nicht relevant</v>
      </c>
      <c r="AL254" s="711" t="s">
        <v>2462</v>
      </c>
      <c r="AM254" s="710" t="s">
        <v>2486</v>
      </c>
      <c r="AN254" s="715" t="str">
        <f>IF(SUM(M238:M249)&gt;0,IF(AN252*AN253&gt;0,1/AN252*LN(1+AN252/AN253),""),"")</f>
        <v/>
      </c>
      <c r="AO254" s="207" t="s">
        <v>2417</v>
      </c>
    </row>
    <row r="255" spans="1:41" s="18" customFormat="1" ht="13.8">
      <c r="A255" s="33"/>
      <c r="B255" s="33"/>
      <c r="C255" s="33"/>
      <c r="D255" s="33"/>
      <c r="E255" s="33"/>
      <c r="F255" s="33"/>
      <c r="G255" s="33"/>
      <c r="H255" s="33"/>
      <c r="I255" s="33"/>
      <c r="J255" s="33"/>
      <c r="K255" s="33"/>
      <c r="L255" s="33"/>
      <c r="M255" s="33"/>
      <c r="Q255" s="33"/>
      <c r="R255" s="33"/>
      <c r="AC255" s="19"/>
      <c r="AD255" s="19"/>
      <c r="AE255" s="187"/>
      <c r="AF255" s="187"/>
      <c r="AG255" s="187"/>
      <c r="AH255" s="187"/>
      <c r="AI255" s="187"/>
      <c r="AJ255" s="187"/>
      <c r="AK255" s="187"/>
      <c r="AL255" s="149"/>
      <c r="AM255" s="187"/>
      <c r="AN255" s="187"/>
      <c r="AO255" s="187"/>
    </row>
    <row r="256" spans="1:41">
      <c r="AE256" s="413"/>
      <c r="AF256" s="413" t="s">
        <v>819</v>
      </c>
      <c r="AG256" s="413" t="s">
        <v>1946</v>
      </c>
      <c r="AH256" s="413" t="s">
        <v>1947</v>
      </c>
      <c r="AI256" s="413" t="s">
        <v>1948</v>
      </c>
      <c r="AJ256" s="413" t="s">
        <v>1086</v>
      </c>
      <c r="AK256" s="413" t="s">
        <v>1949</v>
      </c>
      <c r="AL256" s="413" t="s">
        <v>803</v>
      </c>
      <c r="AM256" s="413" t="s">
        <v>821</v>
      </c>
      <c r="AN256" s="413" t="s">
        <v>1094</v>
      </c>
      <c r="AO256" s="413" t="s">
        <v>820</v>
      </c>
    </row>
    <row r="257" spans="31:41">
      <c r="AE257" s="413">
        <v>1</v>
      </c>
      <c r="AF257" s="414" t="str">
        <f>"""b"&amp;TEXT($AE257,"00")&amp;"_"&amp;AF$256&amp;""""</f>
        <v>"b01_Name"</v>
      </c>
      <c r="AG257" s="414" t="str">
        <f t="shared" ref="AG257:AO266" si="114">"""b"&amp;TEXT($AE257,"00")&amp;"_"&amp;AG$256&amp;""""</f>
        <v>"b01_Notiz"</v>
      </c>
      <c r="AH257" s="414" t="str">
        <f t="shared" si="114"/>
        <v>"b01_alf"</v>
      </c>
      <c r="AI257" s="414" t="str">
        <f t="shared" si="114"/>
        <v>"b01_si"</v>
      </c>
      <c r="AJ257" s="414" t="str">
        <f t="shared" si="114"/>
        <v>"b01_d"</v>
      </c>
      <c r="AK257" s="414" t="str">
        <f t="shared" si="114"/>
        <v>"b01_x"</v>
      </c>
      <c r="AL257" s="414" t="str">
        <f t="shared" si="114"/>
        <v>"b01_b"</v>
      </c>
      <c r="AM257" s="414" t="str">
        <f t="shared" si="114"/>
        <v>"b01_Quelle"</v>
      </c>
      <c r="AN257" s="414" t="str">
        <f t="shared" si="114"/>
        <v>"b01_Art"</v>
      </c>
      <c r="AO257" s="414" t="str">
        <f t="shared" si="114"/>
        <v>"b01_Stoff"</v>
      </c>
    </row>
    <row r="258" spans="31:41">
      <c r="AE258" s="413">
        <v>2</v>
      </c>
      <c r="AF258" s="414" t="str">
        <f t="shared" ref="AF258:AF266" si="115">"""b"&amp;TEXT($AE258,"00")&amp;"_"&amp;AF$256&amp;""""</f>
        <v>"b02_Name"</v>
      </c>
      <c r="AG258" s="414" t="str">
        <f t="shared" si="114"/>
        <v>"b02_Notiz"</v>
      </c>
      <c r="AH258" s="414" t="str">
        <f t="shared" si="114"/>
        <v>"b02_alf"</v>
      </c>
      <c r="AI258" s="414" t="str">
        <f t="shared" si="114"/>
        <v>"b02_si"</v>
      </c>
      <c r="AJ258" s="414" t="str">
        <f t="shared" si="114"/>
        <v>"b02_d"</v>
      </c>
      <c r="AK258" s="414" t="str">
        <f t="shared" si="114"/>
        <v>"b02_x"</v>
      </c>
      <c r="AL258" s="414" t="str">
        <f t="shared" si="114"/>
        <v>"b02_b"</v>
      </c>
      <c r="AM258" s="414" t="str">
        <f t="shared" si="114"/>
        <v>"b02_Quelle"</v>
      </c>
      <c r="AN258" s="414" t="str">
        <f t="shared" si="114"/>
        <v>"b02_Art"</v>
      </c>
      <c r="AO258" s="414" t="str">
        <f t="shared" si="114"/>
        <v>"b02_Stoff"</v>
      </c>
    </row>
    <row r="259" spans="31:41">
      <c r="AE259" s="413">
        <v>3</v>
      </c>
      <c r="AF259" s="414" t="str">
        <f t="shared" si="115"/>
        <v>"b03_Name"</v>
      </c>
      <c r="AG259" s="414" t="str">
        <f t="shared" si="114"/>
        <v>"b03_Notiz"</v>
      </c>
      <c r="AH259" s="414" t="str">
        <f t="shared" si="114"/>
        <v>"b03_alf"</v>
      </c>
      <c r="AI259" s="414" t="str">
        <f t="shared" si="114"/>
        <v>"b03_si"</v>
      </c>
      <c r="AJ259" s="414" t="str">
        <f t="shared" si="114"/>
        <v>"b03_d"</v>
      </c>
      <c r="AK259" s="414" t="str">
        <f t="shared" si="114"/>
        <v>"b03_x"</v>
      </c>
      <c r="AL259" s="414" t="str">
        <f t="shared" si="114"/>
        <v>"b03_b"</v>
      </c>
      <c r="AM259" s="414" t="str">
        <f t="shared" si="114"/>
        <v>"b03_Quelle"</v>
      </c>
      <c r="AN259" s="414" t="str">
        <f t="shared" si="114"/>
        <v>"b03_Art"</v>
      </c>
      <c r="AO259" s="414" t="str">
        <f t="shared" si="114"/>
        <v>"b03_Stoff"</v>
      </c>
    </row>
    <row r="260" spans="31:41">
      <c r="AE260" s="413">
        <v>4</v>
      </c>
      <c r="AF260" s="414" t="str">
        <f t="shared" si="115"/>
        <v>"b04_Name"</v>
      </c>
      <c r="AG260" s="414" t="str">
        <f t="shared" si="114"/>
        <v>"b04_Notiz"</v>
      </c>
      <c r="AH260" s="414" t="str">
        <f t="shared" si="114"/>
        <v>"b04_alf"</v>
      </c>
      <c r="AI260" s="414" t="str">
        <f t="shared" si="114"/>
        <v>"b04_si"</v>
      </c>
      <c r="AJ260" s="414" t="str">
        <f t="shared" si="114"/>
        <v>"b04_d"</v>
      </c>
      <c r="AK260" s="414" t="str">
        <f t="shared" si="114"/>
        <v>"b04_x"</v>
      </c>
      <c r="AL260" s="414" t="str">
        <f t="shared" si="114"/>
        <v>"b04_b"</v>
      </c>
      <c r="AM260" s="414" t="str">
        <f t="shared" si="114"/>
        <v>"b04_Quelle"</v>
      </c>
      <c r="AN260" s="414" t="str">
        <f t="shared" si="114"/>
        <v>"b04_Art"</v>
      </c>
      <c r="AO260" s="414" t="str">
        <f t="shared" si="114"/>
        <v>"b04_Stoff"</v>
      </c>
    </row>
    <row r="261" spans="31:41">
      <c r="AE261" s="413">
        <v>5</v>
      </c>
      <c r="AF261" s="414" t="str">
        <f t="shared" si="115"/>
        <v>"b05_Name"</v>
      </c>
      <c r="AG261" s="414" t="str">
        <f t="shared" si="114"/>
        <v>"b05_Notiz"</v>
      </c>
      <c r="AH261" s="414" t="str">
        <f t="shared" si="114"/>
        <v>"b05_alf"</v>
      </c>
      <c r="AI261" s="414" t="str">
        <f t="shared" si="114"/>
        <v>"b05_si"</v>
      </c>
      <c r="AJ261" s="414" t="str">
        <f t="shared" si="114"/>
        <v>"b05_d"</v>
      </c>
      <c r="AK261" s="414" t="str">
        <f t="shared" si="114"/>
        <v>"b05_x"</v>
      </c>
      <c r="AL261" s="414" t="str">
        <f t="shared" si="114"/>
        <v>"b05_b"</v>
      </c>
      <c r="AM261" s="414" t="str">
        <f t="shared" si="114"/>
        <v>"b05_Quelle"</v>
      </c>
      <c r="AN261" s="414" t="str">
        <f t="shared" si="114"/>
        <v>"b05_Art"</v>
      </c>
      <c r="AO261" s="414" t="str">
        <f t="shared" si="114"/>
        <v>"b05_Stoff"</v>
      </c>
    </row>
    <row r="262" spans="31:41">
      <c r="AE262" s="413">
        <v>6</v>
      </c>
      <c r="AF262" s="414" t="str">
        <f t="shared" si="115"/>
        <v>"b06_Name"</v>
      </c>
      <c r="AG262" s="414" t="str">
        <f t="shared" si="114"/>
        <v>"b06_Notiz"</v>
      </c>
      <c r="AH262" s="414" t="str">
        <f t="shared" si="114"/>
        <v>"b06_alf"</v>
      </c>
      <c r="AI262" s="414" t="str">
        <f t="shared" si="114"/>
        <v>"b06_si"</v>
      </c>
      <c r="AJ262" s="414" t="str">
        <f t="shared" si="114"/>
        <v>"b06_d"</v>
      </c>
      <c r="AK262" s="414" t="str">
        <f t="shared" si="114"/>
        <v>"b06_x"</v>
      </c>
      <c r="AL262" s="414" t="str">
        <f t="shared" si="114"/>
        <v>"b06_b"</v>
      </c>
      <c r="AM262" s="414" t="str">
        <f t="shared" si="114"/>
        <v>"b06_Quelle"</v>
      </c>
      <c r="AN262" s="414" t="str">
        <f t="shared" si="114"/>
        <v>"b06_Art"</v>
      </c>
      <c r="AO262" s="414" t="str">
        <f t="shared" si="114"/>
        <v>"b06_Stoff"</v>
      </c>
    </row>
    <row r="263" spans="31:41">
      <c r="AE263" s="413">
        <v>7</v>
      </c>
      <c r="AF263" s="414" t="str">
        <f t="shared" si="115"/>
        <v>"b07_Name"</v>
      </c>
      <c r="AG263" s="414" t="str">
        <f t="shared" si="114"/>
        <v>"b07_Notiz"</v>
      </c>
      <c r="AH263" s="414" t="str">
        <f t="shared" si="114"/>
        <v>"b07_alf"</v>
      </c>
      <c r="AI263" s="414" t="str">
        <f t="shared" si="114"/>
        <v>"b07_si"</v>
      </c>
      <c r="AJ263" s="414" t="str">
        <f t="shared" si="114"/>
        <v>"b07_d"</v>
      </c>
      <c r="AK263" s="414" t="str">
        <f t="shared" si="114"/>
        <v>"b07_x"</v>
      </c>
      <c r="AL263" s="414" t="str">
        <f t="shared" si="114"/>
        <v>"b07_b"</v>
      </c>
      <c r="AM263" s="414" t="str">
        <f t="shared" si="114"/>
        <v>"b07_Quelle"</v>
      </c>
      <c r="AN263" s="414" t="str">
        <f t="shared" si="114"/>
        <v>"b07_Art"</v>
      </c>
      <c r="AO263" s="414" t="str">
        <f t="shared" si="114"/>
        <v>"b07_Stoff"</v>
      </c>
    </row>
    <row r="264" spans="31:41">
      <c r="AE264" s="413">
        <v>8</v>
      </c>
      <c r="AF264" s="414" t="str">
        <f t="shared" si="115"/>
        <v>"b08_Name"</v>
      </c>
      <c r="AG264" s="414" t="str">
        <f t="shared" si="114"/>
        <v>"b08_Notiz"</v>
      </c>
      <c r="AH264" s="414" t="str">
        <f t="shared" si="114"/>
        <v>"b08_alf"</v>
      </c>
      <c r="AI264" s="414" t="str">
        <f t="shared" si="114"/>
        <v>"b08_si"</v>
      </c>
      <c r="AJ264" s="414" t="str">
        <f t="shared" si="114"/>
        <v>"b08_d"</v>
      </c>
      <c r="AK264" s="414" t="str">
        <f t="shared" si="114"/>
        <v>"b08_x"</v>
      </c>
      <c r="AL264" s="414" t="str">
        <f t="shared" si="114"/>
        <v>"b08_b"</v>
      </c>
      <c r="AM264" s="414" t="str">
        <f t="shared" si="114"/>
        <v>"b08_Quelle"</v>
      </c>
      <c r="AN264" s="414" t="str">
        <f t="shared" si="114"/>
        <v>"b08_Art"</v>
      </c>
      <c r="AO264" s="414" t="str">
        <f t="shared" si="114"/>
        <v>"b08_Stoff"</v>
      </c>
    </row>
    <row r="265" spans="31:41">
      <c r="AE265" s="413">
        <v>9</v>
      </c>
      <c r="AF265" s="414" t="str">
        <f t="shared" si="115"/>
        <v>"b09_Name"</v>
      </c>
      <c r="AG265" s="414" t="str">
        <f t="shared" si="114"/>
        <v>"b09_Notiz"</v>
      </c>
      <c r="AH265" s="414" t="str">
        <f t="shared" si="114"/>
        <v>"b09_alf"</v>
      </c>
      <c r="AI265" s="414" t="str">
        <f t="shared" si="114"/>
        <v>"b09_si"</v>
      </c>
      <c r="AJ265" s="414" t="str">
        <f t="shared" si="114"/>
        <v>"b09_d"</v>
      </c>
      <c r="AK265" s="414" t="str">
        <f t="shared" si="114"/>
        <v>"b09_x"</v>
      </c>
      <c r="AL265" s="414" t="str">
        <f t="shared" si="114"/>
        <v>"b09_b"</v>
      </c>
      <c r="AM265" s="414" t="str">
        <f t="shared" si="114"/>
        <v>"b09_Quelle"</v>
      </c>
      <c r="AN265" s="414" t="str">
        <f t="shared" si="114"/>
        <v>"b09_Art"</v>
      </c>
      <c r="AO265" s="414" t="str">
        <f t="shared" si="114"/>
        <v>"b09_Stoff"</v>
      </c>
    </row>
    <row r="266" spans="31:41">
      <c r="AE266" s="413">
        <v>10</v>
      </c>
      <c r="AF266" s="414" t="str">
        <f t="shared" si="115"/>
        <v>"b10_Name"</v>
      </c>
      <c r="AG266" s="414" t="str">
        <f t="shared" si="114"/>
        <v>"b10_Notiz"</v>
      </c>
      <c r="AH266" s="414" t="str">
        <f t="shared" si="114"/>
        <v>"b10_alf"</v>
      </c>
      <c r="AI266" s="414" t="str">
        <f t="shared" si="114"/>
        <v>"b10_si"</v>
      </c>
      <c r="AJ266" s="414" t="str">
        <f t="shared" si="114"/>
        <v>"b10_d"</v>
      </c>
      <c r="AK266" s="414" t="str">
        <f t="shared" si="114"/>
        <v>"b10_x"</v>
      </c>
      <c r="AL266" s="414" t="str">
        <f t="shared" si="114"/>
        <v>"b10_b"</v>
      </c>
      <c r="AM266" s="414" t="str">
        <f t="shared" si="114"/>
        <v>"b10_Quelle"</v>
      </c>
      <c r="AN266" s="414" t="str">
        <f t="shared" si="114"/>
        <v>"b10_Art"</v>
      </c>
      <c r="AO266" s="414" t="str">
        <f t="shared" si="114"/>
        <v>"b10_Stoff"</v>
      </c>
    </row>
    <row r="267" spans="31:41">
      <c r="AE267" s="413"/>
      <c r="AF267" s="413"/>
      <c r="AG267" s="413"/>
      <c r="AH267" s="413"/>
      <c r="AI267" s="413"/>
      <c r="AJ267" s="413"/>
      <c r="AK267" s="413"/>
      <c r="AL267" s="413"/>
      <c r="AM267" s="413"/>
      <c r="AN267" s="413"/>
      <c r="AO267" s="413"/>
    </row>
    <row r="268" spans="31:41">
      <c r="AE268" s="413" t="s">
        <v>1950</v>
      </c>
      <c r="AF268" s="415" t="str">
        <f>"        "&amp;AF257&amp;","&amp;AG257&amp;","&amp;AH257&amp;","&amp;AI257&amp;","&amp;AJ257&amp;","&amp;AK257&amp;","&amp;AL257&amp;","&amp;AM257&amp;","&amp;AN257&amp;","&amp;AO257&amp;AE268</f>
        <v xml:space="preserve">        "b01_Name","b01_Notiz","b01_alf","b01_si","b01_d","b01_x","b01_b","b01_Quelle","b01_Art","b01_Stoff", _</v>
      </c>
      <c r="AG268" s="413"/>
      <c r="AH268" s="413"/>
      <c r="AI268" s="413"/>
      <c r="AJ268" s="413"/>
      <c r="AK268" s="413"/>
      <c r="AL268" s="413"/>
      <c r="AM268" s="413"/>
      <c r="AN268" s="413"/>
      <c r="AO268" s="413"/>
    </row>
    <row r="269" spans="31:41">
      <c r="AE269" s="413" t="s">
        <v>1950</v>
      </c>
      <c r="AF269" s="416" t="str">
        <f>"        "&amp;AF258&amp;","&amp;AG258&amp;","&amp;AH258&amp;","&amp;AI258&amp;","&amp;AJ258&amp;","&amp;AK258&amp;","&amp;AL258&amp;","&amp;AM258&amp;","&amp;AN258&amp;","&amp;AO258&amp;AE269</f>
        <v xml:space="preserve">        "b02_Name","b02_Notiz","b02_alf","b02_si","b02_d","b02_x","b02_b","b02_Quelle","b02_Art","b02_Stoff", _</v>
      </c>
      <c r="AG269" s="413"/>
      <c r="AH269" s="413"/>
      <c r="AI269" s="413"/>
      <c r="AJ269" s="413"/>
      <c r="AK269" s="413"/>
      <c r="AL269" s="413"/>
      <c r="AM269" s="413"/>
      <c r="AN269" s="413"/>
      <c r="AO269" s="413"/>
    </row>
    <row r="270" spans="31:41">
      <c r="AE270" s="413" t="s">
        <v>1950</v>
      </c>
      <c r="AF270" s="416" t="str">
        <f t="shared" ref="AF270:AF277" si="116">"        "&amp;AF259&amp;","&amp;AG259&amp;","&amp;AH259&amp;","&amp;AI259&amp;","&amp;AJ259&amp;","&amp;AK259&amp;","&amp;AL259&amp;","&amp;AM259&amp;","&amp;AN259&amp;","&amp;AO259&amp;AE270</f>
        <v xml:space="preserve">        "b03_Name","b03_Notiz","b03_alf","b03_si","b03_d","b03_x","b03_b","b03_Quelle","b03_Art","b03_Stoff", _</v>
      </c>
      <c r="AG270" s="413"/>
      <c r="AH270" s="413"/>
      <c r="AI270" s="413"/>
      <c r="AJ270" s="413"/>
      <c r="AK270" s="413"/>
      <c r="AL270" s="413"/>
      <c r="AM270" s="413"/>
      <c r="AN270" s="413"/>
      <c r="AO270" s="413"/>
    </row>
    <row r="271" spans="31:41">
      <c r="AE271" s="413" t="s">
        <v>1950</v>
      </c>
      <c r="AF271" s="416" t="str">
        <f t="shared" si="116"/>
        <v xml:space="preserve">        "b04_Name","b04_Notiz","b04_alf","b04_si","b04_d","b04_x","b04_b","b04_Quelle","b04_Art","b04_Stoff", _</v>
      </c>
      <c r="AG271" s="413"/>
      <c r="AH271" s="413"/>
      <c r="AI271" s="413"/>
      <c r="AJ271" s="413"/>
      <c r="AK271" s="413"/>
      <c r="AL271" s="413"/>
      <c r="AM271" s="413"/>
      <c r="AN271" s="413"/>
      <c r="AO271" s="413"/>
    </row>
    <row r="272" spans="31:41">
      <c r="AE272" s="413" t="s">
        <v>1950</v>
      </c>
      <c r="AF272" s="416" t="str">
        <f t="shared" si="116"/>
        <v xml:space="preserve">        "b05_Name","b05_Notiz","b05_alf","b05_si","b05_d","b05_x","b05_b","b05_Quelle","b05_Art","b05_Stoff", _</v>
      </c>
      <c r="AG272" s="413"/>
      <c r="AH272" s="413"/>
      <c r="AI272" s="413"/>
      <c r="AJ272" s="413"/>
      <c r="AK272" s="413"/>
      <c r="AL272" s="413"/>
      <c r="AM272" s="413"/>
      <c r="AN272" s="413"/>
      <c r="AO272" s="413"/>
    </row>
    <row r="273" spans="31:41">
      <c r="AE273" s="413" t="s">
        <v>1950</v>
      </c>
      <c r="AF273" s="416" t="str">
        <f t="shared" si="116"/>
        <v xml:space="preserve">        "b06_Name","b06_Notiz","b06_alf","b06_si","b06_d","b06_x","b06_b","b06_Quelle","b06_Art","b06_Stoff", _</v>
      </c>
      <c r="AG273" s="413"/>
      <c r="AH273" s="413"/>
      <c r="AI273" s="413"/>
      <c r="AJ273" s="413"/>
      <c r="AK273" s="413"/>
      <c r="AL273" s="413"/>
      <c r="AM273" s="413"/>
      <c r="AN273" s="413"/>
      <c r="AO273" s="413"/>
    </row>
    <row r="274" spans="31:41">
      <c r="AE274" s="413" t="s">
        <v>1950</v>
      </c>
      <c r="AF274" s="416" t="str">
        <f t="shared" si="116"/>
        <v xml:space="preserve">        "b07_Name","b07_Notiz","b07_alf","b07_si","b07_d","b07_x","b07_b","b07_Quelle","b07_Art","b07_Stoff", _</v>
      </c>
      <c r="AG274" s="413"/>
      <c r="AH274" s="413"/>
      <c r="AI274" s="413"/>
      <c r="AJ274" s="413"/>
      <c r="AK274" s="413"/>
      <c r="AL274" s="413"/>
      <c r="AM274" s="413"/>
      <c r="AN274" s="413"/>
      <c r="AO274" s="413"/>
    </row>
    <row r="275" spans="31:41">
      <c r="AE275" s="413" t="s">
        <v>1950</v>
      </c>
      <c r="AF275" s="416" t="str">
        <f t="shared" si="116"/>
        <v xml:space="preserve">        "b08_Name","b08_Notiz","b08_alf","b08_si","b08_d","b08_x","b08_b","b08_Quelle","b08_Art","b08_Stoff", _</v>
      </c>
      <c r="AG275" s="413"/>
      <c r="AH275" s="413"/>
      <c r="AI275" s="413"/>
      <c r="AJ275" s="413"/>
      <c r="AK275" s="413"/>
      <c r="AL275" s="413"/>
      <c r="AM275" s="413"/>
      <c r="AN275" s="413"/>
      <c r="AO275" s="413"/>
    </row>
    <row r="276" spans="31:41">
      <c r="AE276" s="413" t="s">
        <v>1950</v>
      </c>
      <c r="AF276" s="416" t="str">
        <f t="shared" si="116"/>
        <v xml:space="preserve">        "b09_Name","b09_Notiz","b09_alf","b09_si","b09_d","b09_x","b09_b","b09_Quelle","b09_Art","b09_Stoff", _</v>
      </c>
      <c r="AG276" s="413"/>
      <c r="AH276" s="413"/>
      <c r="AI276" s="413"/>
      <c r="AJ276" s="413"/>
      <c r="AK276" s="413"/>
      <c r="AL276" s="413"/>
      <c r="AM276" s="413"/>
      <c r="AN276" s="413"/>
      <c r="AO276" s="413"/>
    </row>
    <row r="277" spans="31:41">
      <c r="AE277" s="413" t="s">
        <v>1951</v>
      </c>
      <c r="AF277" s="417" t="str">
        <f t="shared" si="116"/>
        <v xml:space="preserve">        "b10_Name","b10_Notiz","b10_alf","b10_si","b10_d","b10_x","b10_b","b10_Quelle","b10_Art","b10_Stoff")</v>
      </c>
      <c r="AG277" s="413"/>
      <c r="AH277" s="413"/>
      <c r="AI277" s="413"/>
      <c r="AJ277" s="413"/>
      <c r="AK277" s="413"/>
      <c r="AL277" s="413"/>
      <c r="AM277" s="413"/>
      <c r="AN277" s="413"/>
      <c r="AO277" s="413"/>
    </row>
  </sheetData>
  <sheetProtection algorithmName="SHA-512" hashValue="et2pN0X4+l1dh4YwiQ5pxB24TOlRezDD4knpXRUQTpcgnRzm9Ihqrb4gREscXs09PUBdZPM1+3mR0g3MuouyIg==" saltValue="AHT1TYKYvknav1MlfC/vPQ==" spinCount="100000" sheet="1" objects="1" scenarios="1"/>
  <mergeCells count="184">
    <mergeCell ref="E84:G84"/>
    <mergeCell ref="E85:G85"/>
    <mergeCell ref="E86:G86"/>
    <mergeCell ref="E87:G87"/>
    <mergeCell ref="C81:D81"/>
    <mergeCell ref="C59:D59"/>
    <mergeCell ref="C37:D37"/>
    <mergeCell ref="C125:D125"/>
    <mergeCell ref="C147:D147"/>
    <mergeCell ref="E43:G43"/>
    <mergeCell ref="E44:G44"/>
    <mergeCell ref="E45:G45"/>
    <mergeCell ref="E46:G46"/>
    <mergeCell ref="E50:G50"/>
    <mergeCell ref="E71:G71"/>
    <mergeCell ref="E72:G72"/>
    <mergeCell ref="E61:G61"/>
    <mergeCell ref="E62:G62"/>
    <mergeCell ref="E47:G47"/>
    <mergeCell ref="E48:G48"/>
    <mergeCell ref="E49:G49"/>
    <mergeCell ref="E94:G94"/>
    <mergeCell ref="E89:G89"/>
    <mergeCell ref="E90:G90"/>
    <mergeCell ref="K252:P253"/>
    <mergeCell ref="K54:P55"/>
    <mergeCell ref="K76:P77"/>
    <mergeCell ref="K98:P99"/>
    <mergeCell ref="K120:P121"/>
    <mergeCell ref="K142:P143"/>
    <mergeCell ref="K164:P165"/>
    <mergeCell ref="K186:P187"/>
    <mergeCell ref="K208:P209"/>
    <mergeCell ref="K230:P231"/>
    <mergeCell ref="B29:E29"/>
    <mergeCell ref="B30:E30"/>
    <mergeCell ref="E114:G114"/>
    <mergeCell ref="E115:G115"/>
    <mergeCell ref="E116:G116"/>
    <mergeCell ref="B102:E102"/>
    <mergeCell ref="B80:E80"/>
    <mergeCell ref="E109:G109"/>
    <mergeCell ref="E110:G110"/>
    <mergeCell ref="E111:G111"/>
    <mergeCell ref="E112:G112"/>
    <mergeCell ref="E113:G113"/>
    <mergeCell ref="F102:H102"/>
    <mergeCell ref="E105:G105"/>
    <mergeCell ref="E106:G106"/>
    <mergeCell ref="E107:G107"/>
    <mergeCell ref="E108:G108"/>
    <mergeCell ref="E88:G88"/>
    <mergeCell ref="E83:G83"/>
    <mergeCell ref="E63:G63"/>
    <mergeCell ref="E39:G39"/>
    <mergeCell ref="E40:G40"/>
    <mergeCell ref="E41:G41"/>
    <mergeCell ref="E42:G42"/>
    <mergeCell ref="B11:E11"/>
    <mergeCell ref="B12:E12"/>
    <mergeCell ref="B13:E13"/>
    <mergeCell ref="B14:E14"/>
    <mergeCell ref="B15:E15"/>
    <mergeCell ref="B6:E6"/>
    <mergeCell ref="B7:E7"/>
    <mergeCell ref="B8:E8"/>
    <mergeCell ref="B9:E9"/>
    <mergeCell ref="B10:E10"/>
    <mergeCell ref="B16:E16"/>
    <mergeCell ref="B17:E17"/>
    <mergeCell ref="F36:H36"/>
    <mergeCell ref="F58:H58"/>
    <mergeCell ref="F80:H80"/>
    <mergeCell ref="B31:E31"/>
    <mergeCell ref="B32:E32"/>
    <mergeCell ref="B58:E58"/>
    <mergeCell ref="B36:E36"/>
    <mergeCell ref="E70:G70"/>
    <mergeCell ref="E64:G64"/>
    <mergeCell ref="E65:G65"/>
    <mergeCell ref="E66:G66"/>
    <mergeCell ref="E67:G67"/>
    <mergeCell ref="E68:G68"/>
    <mergeCell ref="E69:G69"/>
    <mergeCell ref="B21:E21"/>
    <mergeCell ref="B22:E22"/>
    <mergeCell ref="B23:E23"/>
    <mergeCell ref="B24:E24"/>
    <mergeCell ref="B25:E25"/>
    <mergeCell ref="B26:E26"/>
    <mergeCell ref="B27:E27"/>
    <mergeCell ref="B28:E28"/>
    <mergeCell ref="E91:G91"/>
    <mergeCell ref="E92:G92"/>
    <mergeCell ref="E93:G93"/>
    <mergeCell ref="B124:E124"/>
    <mergeCell ref="F124:H124"/>
    <mergeCell ref="E127:G127"/>
    <mergeCell ref="C103:D103"/>
    <mergeCell ref="E128:G128"/>
    <mergeCell ref="E129:G129"/>
    <mergeCell ref="E135:G135"/>
    <mergeCell ref="E136:G136"/>
    <mergeCell ref="E137:G137"/>
    <mergeCell ref="E138:G138"/>
    <mergeCell ref="E157:G157"/>
    <mergeCell ref="E158:G158"/>
    <mergeCell ref="E159:G159"/>
    <mergeCell ref="E130:G130"/>
    <mergeCell ref="E131:G131"/>
    <mergeCell ref="E132:G132"/>
    <mergeCell ref="E133:G133"/>
    <mergeCell ref="E134:G134"/>
    <mergeCell ref="B146:E146"/>
    <mergeCell ref="F146:H146"/>
    <mergeCell ref="E149:G149"/>
    <mergeCell ref="E150:G150"/>
    <mergeCell ref="E151:G151"/>
    <mergeCell ref="E160:G160"/>
    <mergeCell ref="B168:E168"/>
    <mergeCell ref="F168:H168"/>
    <mergeCell ref="E152:G152"/>
    <mergeCell ref="E153:G153"/>
    <mergeCell ref="E154:G154"/>
    <mergeCell ref="E155:G155"/>
    <mergeCell ref="E156:G156"/>
    <mergeCell ref="E176:G176"/>
    <mergeCell ref="C169:D169"/>
    <mergeCell ref="E177:G177"/>
    <mergeCell ref="E178:G178"/>
    <mergeCell ref="E179:G179"/>
    <mergeCell ref="E180:G180"/>
    <mergeCell ref="E171:G171"/>
    <mergeCell ref="E172:G172"/>
    <mergeCell ref="E173:G173"/>
    <mergeCell ref="E174:G174"/>
    <mergeCell ref="E175:G175"/>
    <mergeCell ref="E194:G194"/>
    <mergeCell ref="E195:G195"/>
    <mergeCell ref="E196:G196"/>
    <mergeCell ref="E197:G197"/>
    <mergeCell ref="E198:G198"/>
    <mergeCell ref="E181:G181"/>
    <mergeCell ref="E182:G182"/>
    <mergeCell ref="B190:E190"/>
    <mergeCell ref="F190:H190"/>
    <mergeCell ref="E193:G193"/>
    <mergeCell ref="C191:D191"/>
    <mergeCell ref="E221:G221"/>
    <mergeCell ref="E204:G204"/>
    <mergeCell ref="B212:E212"/>
    <mergeCell ref="F212:H212"/>
    <mergeCell ref="E215:G215"/>
    <mergeCell ref="E216:G216"/>
    <mergeCell ref="E199:G199"/>
    <mergeCell ref="E200:G200"/>
    <mergeCell ref="E201:G201"/>
    <mergeCell ref="E202:G202"/>
    <mergeCell ref="E203:G203"/>
    <mergeCell ref="E217:G217"/>
    <mergeCell ref="E218:G218"/>
    <mergeCell ref="E219:G219"/>
    <mergeCell ref="E220:G220"/>
    <mergeCell ref="C213:D213"/>
    <mergeCell ref="E245:G245"/>
    <mergeCell ref="E246:G246"/>
    <mergeCell ref="E247:G247"/>
    <mergeCell ref="E248:G248"/>
    <mergeCell ref="E240:G240"/>
    <mergeCell ref="E241:G241"/>
    <mergeCell ref="E242:G242"/>
    <mergeCell ref="E243:G243"/>
    <mergeCell ref="E244:G244"/>
    <mergeCell ref="B234:E234"/>
    <mergeCell ref="F234:H234"/>
    <mergeCell ref="E237:G237"/>
    <mergeCell ref="E238:G238"/>
    <mergeCell ref="E239:G239"/>
    <mergeCell ref="E222:G222"/>
    <mergeCell ref="E223:G223"/>
    <mergeCell ref="E224:G224"/>
    <mergeCell ref="E225:G225"/>
    <mergeCell ref="E226:G226"/>
    <mergeCell ref="C235:D235"/>
  </mergeCells>
  <conditionalFormatting sqref="O67:P73 O200:P205 O222:P227 O244:P249 O46:P51 P44:P47">
    <cfRule type="expression" dxfId="430" priority="914">
      <formula>AH44</formula>
    </cfRule>
  </conditionalFormatting>
  <conditionalFormatting sqref="P67:P73 P200:P205 P222:P227 P244:P249 P44:P51">
    <cfRule type="expression" dxfId="429" priority="911">
      <formula>$AJ44&lt;3</formula>
    </cfRule>
  </conditionalFormatting>
  <conditionalFormatting sqref="O67:O73 O200:O205 O222:O227 O244:O249 O48:O51">
    <cfRule type="expression" dxfId="428" priority="910">
      <formula>$AJ48&lt;2</formula>
    </cfRule>
  </conditionalFormatting>
  <conditionalFormatting sqref="H40:H51">
    <cfRule type="expression" dxfId="427" priority="875">
      <formula>AK40&lt;&gt;5</formula>
    </cfRule>
  </conditionalFormatting>
  <conditionalFormatting sqref="B51 D51">
    <cfRule type="expression" dxfId="426" priority="867">
      <formula>$E51=""</formula>
    </cfRule>
  </conditionalFormatting>
  <conditionalFormatting sqref="D51">
    <cfRule type="expression" dxfId="425" priority="866">
      <formula>$C51=""</formula>
    </cfRule>
  </conditionalFormatting>
  <conditionalFormatting sqref="O66:P66">
    <cfRule type="expression" dxfId="424" priority="862">
      <formula>AH66</formula>
    </cfRule>
  </conditionalFormatting>
  <conditionalFormatting sqref="P66">
    <cfRule type="expression" dxfId="423" priority="861">
      <formula>$AJ66&lt;3</formula>
    </cfRule>
  </conditionalFormatting>
  <conditionalFormatting sqref="O66">
    <cfRule type="expression" dxfId="422" priority="860">
      <formula>$AJ66&lt;2</formula>
    </cfRule>
  </conditionalFormatting>
  <conditionalFormatting sqref="J39">
    <cfRule type="expression" dxfId="421" priority="825">
      <formula>AL39=5</formula>
    </cfRule>
  </conditionalFormatting>
  <conditionalFormatting sqref="O113:P117">
    <cfRule type="expression" dxfId="420" priority="821">
      <formula>AH113</formula>
    </cfRule>
  </conditionalFormatting>
  <conditionalFormatting sqref="P113:P117">
    <cfRule type="expression" dxfId="419" priority="820">
      <formula>$AJ113&lt;3</formula>
    </cfRule>
  </conditionalFormatting>
  <conditionalFormatting sqref="O113:O117">
    <cfRule type="expression" dxfId="418" priority="819">
      <formula>$AJ113&lt;2</formula>
    </cfRule>
  </conditionalFormatting>
  <conditionalFormatting sqref="B113:B117">
    <cfRule type="expression" dxfId="417" priority="807">
      <formula>$E113=""</formula>
    </cfRule>
  </conditionalFormatting>
  <conditionalFormatting sqref="O135:P139">
    <cfRule type="expression" dxfId="416" priority="797">
      <formula>AH135</formula>
    </cfRule>
  </conditionalFormatting>
  <conditionalFormatting sqref="P135:P139">
    <cfRule type="expression" dxfId="415" priority="796">
      <formula>$AJ135&lt;3</formula>
    </cfRule>
  </conditionalFormatting>
  <conditionalFormatting sqref="O135:O139">
    <cfRule type="expression" dxfId="414" priority="795">
      <formula>$AJ135&lt;2</formula>
    </cfRule>
  </conditionalFormatting>
  <conditionalFormatting sqref="B135:B139">
    <cfRule type="expression" dxfId="413" priority="783">
      <formula>$E135=""</formula>
    </cfRule>
  </conditionalFormatting>
  <conditionalFormatting sqref="B200:B205">
    <cfRule type="expression" dxfId="412" priority="723">
      <formula>$E200=""</formula>
    </cfRule>
  </conditionalFormatting>
  <conditionalFormatting sqref="B222:B227">
    <cfRule type="expression" dxfId="411" priority="705">
      <formula>$E222=""</formula>
    </cfRule>
  </conditionalFormatting>
  <conditionalFormatting sqref="B244:B249">
    <cfRule type="expression" dxfId="410" priority="687">
      <formula>$E244=""</formula>
    </cfRule>
  </conditionalFormatting>
  <conditionalFormatting sqref="D113:D117">
    <cfRule type="expression" dxfId="409" priority="654">
      <formula>$E113=""</formula>
    </cfRule>
  </conditionalFormatting>
  <conditionalFormatting sqref="D113:D117">
    <cfRule type="expression" dxfId="408" priority="653">
      <formula>$C113=""</formula>
    </cfRule>
  </conditionalFormatting>
  <conditionalFormatting sqref="D135:D139">
    <cfRule type="expression" dxfId="407" priority="652">
      <formula>$E135=""</formula>
    </cfRule>
  </conditionalFormatting>
  <conditionalFormatting sqref="D135:D139">
    <cfRule type="expression" dxfId="406" priority="651">
      <formula>$C135=""</formula>
    </cfRule>
  </conditionalFormatting>
  <conditionalFormatting sqref="D200:D205">
    <cfRule type="expression" dxfId="405" priority="646">
      <formula>$E200=""</formula>
    </cfRule>
  </conditionalFormatting>
  <conditionalFormatting sqref="D200:D205">
    <cfRule type="expression" dxfId="404" priority="645">
      <formula>$C200=""</formula>
    </cfRule>
  </conditionalFormatting>
  <conditionalFormatting sqref="D222:D227">
    <cfRule type="expression" dxfId="403" priority="644">
      <formula>$E222=""</formula>
    </cfRule>
  </conditionalFormatting>
  <conditionalFormatting sqref="D222:D227">
    <cfRule type="expression" dxfId="402" priority="643">
      <formula>$C222=""</formula>
    </cfRule>
  </conditionalFormatting>
  <conditionalFormatting sqref="D244:D249">
    <cfRule type="expression" dxfId="401" priority="642">
      <formula>$E244=""</formula>
    </cfRule>
  </conditionalFormatting>
  <conditionalFormatting sqref="D244:D249">
    <cfRule type="expression" dxfId="400" priority="641">
      <formula>$C244=""</formula>
    </cfRule>
  </conditionalFormatting>
  <conditionalFormatting sqref="B156:B161">
    <cfRule type="expression" dxfId="399" priority="625">
      <formula>$E156=""</formula>
    </cfRule>
  </conditionalFormatting>
  <conditionalFormatting sqref="D156:D161">
    <cfRule type="expression" dxfId="398" priority="624">
      <formula>$E156=""</formula>
    </cfRule>
  </conditionalFormatting>
  <conditionalFormatting sqref="D156:D161">
    <cfRule type="expression" dxfId="397" priority="623">
      <formula>$C156=""</formula>
    </cfRule>
  </conditionalFormatting>
  <conditionalFormatting sqref="O157:P161">
    <cfRule type="expression" dxfId="396" priority="622">
      <formula>AH157</formula>
    </cfRule>
  </conditionalFormatting>
  <conditionalFormatting sqref="P157:P161">
    <cfRule type="expression" dxfId="395" priority="621">
      <formula>$AJ157&lt;3</formula>
    </cfRule>
  </conditionalFormatting>
  <conditionalFormatting sqref="O157:O161">
    <cfRule type="expression" dxfId="394" priority="620">
      <formula>$AJ157&lt;2</formula>
    </cfRule>
  </conditionalFormatting>
  <conditionalFormatting sqref="O156:P156">
    <cfRule type="expression" dxfId="393" priority="604">
      <formula>AH156</formula>
    </cfRule>
  </conditionalFormatting>
  <conditionalFormatting sqref="P156">
    <cfRule type="expression" dxfId="392" priority="603">
      <formula>$AJ156&lt;3</formula>
    </cfRule>
  </conditionalFormatting>
  <conditionalFormatting sqref="O156">
    <cfRule type="expression" dxfId="391" priority="602">
      <formula>$AJ156&lt;2</formula>
    </cfRule>
  </conditionalFormatting>
  <conditionalFormatting sqref="C51">
    <cfRule type="expression" dxfId="390" priority="588">
      <formula>$E51=""</formula>
    </cfRule>
  </conditionalFormatting>
  <conditionalFormatting sqref="C135:C139">
    <cfRule type="expression" dxfId="389" priority="501">
      <formula>$E135=""</formula>
    </cfRule>
  </conditionalFormatting>
  <conditionalFormatting sqref="C156:C161">
    <cfRule type="expression" dxfId="388" priority="500">
      <formula>$E156=""</formula>
    </cfRule>
  </conditionalFormatting>
  <conditionalFormatting sqref="C200:C205">
    <cfRule type="expression" dxfId="387" priority="498">
      <formula>$E200=""</formula>
    </cfRule>
  </conditionalFormatting>
  <conditionalFormatting sqref="C222:C227">
    <cfRule type="expression" dxfId="386" priority="497">
      <formula>$E222=""</formula>
    </cfRule>
  </conditionalFormatting>
  <conditionalFormatting sqref="C244:C249">
    <cfRule type="expression" dxfId="385" priority="496">
      <formula>$E244=""</formula>
    </cfRule>
  </conditionalFormatting>
  <conditionalFormatting sqref="H62:H73">
    <cfRule type="expression" dxfId="384" priority="495">
      <formula>AK62&lt;&gt;5</formula>
    </cfRule>
  </conditionalFormatting>
  <conditionalFormatting sqref="J61">
    <cfRule type="expression" dxfId="383" priority="493">
      <formula>AL61=5</formula>
    </cfRule>
  </conditionalFormatting>
  <conditionalFormatting sqref="H84:H95">
    <cfRule type="expression" dxfId="382" priority="491">
      <formula>AK84&lt;&gt;5</formula>
    </cfRule>
  </conditionalFormatting>
  <conditionalFormatting sqref="J83">
    <cfRule type="expression" dxfId="381" priority="489">
      <formula>AL83=5</formula>
    </cfRule>
  </conditionalFormatting>
  <conditionalFormatting sqref="H106:H117">
    <cfRule type="expression" dxfId="380" priority="487">
      <formula>AK106&lt;&gt;5</formula>
    </cfRule>
  </conditionalFormatting>
  <conditionalFormatting sqref="J105">
    <cfRule type="expression" dxfId="379" priority="485">
      <formula>AL105=5</formula>
    </cfRule>
  </conditionalFormatting>
  <conditionalFormatting sqref="H128:H139">
    <cfRule type="expression" dxfId="378" priority="483">
      <formula>AK128&lt;&gt;5</formula>
    </cfRule>
  </conditionalFormatting>
  <conditionalFormatting sqref="J127">
    <cfRule type="expression" dxfId="377" priority="481">
      <formula>AL127=5</formula>
    </cfRule>
  </conditionalFormatting>
  <conditionalFormatting sqref="H150:H161">
    <cfRule type="expression" dxfId="376" priority="479">
      <formula>AK150&lt;&gt;5</formula>
    </cfRule>
  </conditionalFormatting>
  <conditionalFormatting sqref="J149">
    <cfRule type="expression" dxfId="375" priority="477">
      <formula>AL149=5</formula>
    </cfRule>
  </conditionalFormatting>
  <conditionalFormatting sqref="H194:H205">
    <cfRule type="expression" dxfId="374" priority="471">
      <formula>AK194&lt;&gt;5</formula>
    </cfRule>
  </conditionalFormatting>
  <conditionalFormatting sqref="J193">
    <cfRule type="expression" dxfId="373" priority="469">
      <formula>AL193=5</formula>
    </cfRule>
  </conditionalFormatting>
  <conditionalFormatting sqref="H216:H227">
    <cfRule type="expression" dxfId="372" priority="467">
      <formula>AK216&lt;&gt;5</formula>
    </cfRule>
  </conditionalFormatting>
  <conditionalFormatting sqref="J215">
    <cfRule type="expression" dxfId="371" priority="465">
      <formula>AL215=5</formula>
    </cfRule>
  </conditionalFormatting>
  <conditionalFormatting sqref="H238:H249">
    <cfRule type="expression" dxfId="370" priority="463">
      <formula>AK238&lt;&gt;5</formula>
    </cfRule>
  </conditionalFormatting>
  <conditionalFormatting sqref="J237">
    <cfRule type="expression" dxfId="369" priority="461">
      <formula>AL237=5</formula>
    </cfRule>
  </conditionalFormatting>
  <conditionalFormatting sqref="N56">
    <cfRule type="expression" dxfId="368" priority="442">
      <formula>(I54/I55&gt;1.5)</formula>
    </cfRule>
  </conditionalFormatting>
  <conditionalFormatting sqref="B178:B183">
    <cfRule type="expression" dxfId="367" priority="423">
      <formula>$E178=""</formula>
    </cfRule>
  </conditionalFormatting>
  <conditionalFormatting sqref="D178:D183">
    <cfRule type="expression" dxfId="366" priority="422">
      <formula>$E178=""</formula>
    </cfRule>
  </conditionalFormatting>
  <conditionalFormatting sqref="D178:D183">
    <cfRule type="expression" dxfId="365" priority="421">
      <formula>$C178=""</formula>
    </cfRule>
  </conditionalFormatting>
  <conditionalFormatting sqref="O179:P183">
    <cfRule type="expression" dxfId="364" priority="420">
      <formula>AH179</formula>
    </cfRule>
  </conditionalFormatting>
  <conditionalFormatting sqref="P179:P183">
    <cfRule type="expression" dxfId="363" priority="419">
      <formula>$AJ179&lt;3</formula>
    </cfRule>
  </conditionalFormatting>
  <conditionalFormatting sqref="O179:O183">
    <cfRule type="expression" dxfId="362" priority="418">
      <formula>$AJ179&lt;2</formula>
    </cfRule>
  </conditionalFormatting>
  <conditionalFormatting sqref="O178:P178">
    <cfRule type="expression" dxfId="361" priority="402">
      <formula>AH178</formula>
    </cfRule>
  </conditionalFormatting>
  <conditionalFormatting sqref="P178">
    <cfRule type="expression" dxfId="360" priority="401">
      <formula>$AJ178&lt;3</formula>
    </cfRule>
  </conditionalFormatting>
  <conditionalFormatting sqref="O178">
    <cfRule type="expression" dxfId="359" priority="400">
      <formula>$AJ178&lt;2</formula>
    </cfRule>
  </conditionalFormatting>
  <conditionalFormatting sqref="C178:C183">
    <cfRule type="expression" dxfId="358" priority="396">
      <formula>$E178=""</formula>
    </cfRule>
  </conditionalFormatting>
  <conditionalFormatting sqref="H172:H183">
    <cfRule type="expression" dxfId="357" priority="395">
      <formula>AK172&lt;&gt;5</formula>
    </cfRule>
  </conditionalFormatting>
  <conditionalFormatting sqref="J171">
    <cfRule type="expression" dxfId="356" priority="393">
      <formula>AL171=5</formula>
    </cfRule>
  </conditionalFormatting>
  <conditionalFormatting sqref="J52">
    <cfRule type="expression" dxfId="355" priority="915">
      <formula>#REF!=5</formula>
    </cfRule>
  </conditionalFormatting>
  <conditionalFormatting sqref="N166">
    <cfRule type="expression" dxfId="354" priority="368">
      <formula>(I164/I165&gt;1.5)</formula>
    </cfRule>
  </conditionalFormatting>
  <conditionalFormatting sqref="N144">
    <cfRule type="expression" dxfId="353" priority="370">
      <formula>(I142/I143&gt;1.5)</formula>
    </cfRule>
  </conditionalFormatting>
  <conditionalFormatting sqref="N210">
    <cfRule type="expression" dxfId="352" priority="364">
      <formula>(I208/I209&gt;1.5)</formula>
    </cfRule>
  </conditionalFormatting>
  <conditionalFormatting sqref="J206">
    <cfRule type="expression" dxfId="351" priority="365">
      <formula>#REF!=5</formula>
    </cfRule>
  </conditionalFormatting>
  <conditionalFormatting sqref="N78">
    <cfRule type="expression" dxfId="350" priority="376">
      <formula>(I76/I77&gt;1.5)</formula>
    </cfRule>
  </conditionalFormatting>
  <conditionalFormatting sqref="J74">
    <cfRule type="expression" dxfId="349" priority="377">
      <formula>#REF!=5</formula>
    </cfRule>
  </conditionalFormatting>
  <conditionalFormatting sqref="N100">
    <cfRule type="expression" dxfId="348" priority="374">
      <formula>(I98/I99&gt;1.5)</formula>
    </cfRule>
  </conditionalFormatting>
  <conditionalFormatting sqref="J96">
    <cfRule type="expression" dxfId="347" priority="375">
      <formula>#REF!=5</formula>
    </cfRule>
  </conditionalFormatting>
  <conditionalFormatting sqref="N122">
    <cfRule type="expression" dxfId="346" priority="372">
      <formula>(I120/I121&gt;1.5)</formula>
    </cfRule>
  </conditionalFormatting>
  <conditionalFormatting sqref="J118">
    <cfRule type="expression" dxfId="345" priority="373">
      <formula>#REF!=5</formula>
    </cfRule>
  </conditionalFormatting>
  <conditionalFormatting sqref="J140">
    <cfRule type="expression" dxfId="344" priority="371">
      <formula>#REF!=5</formula>
    </cfRule>
  </conditionalFormatting>
  <conditionalFormatting sqref="J162">
    <cfRule type="expression" dxfId="343" priority="369">
      <formula>#REF!=5</formula>
    </cfRule>
  </conditionalFormatting>
  <conditionalFormatting sqref="N188">
    <cfRule type="expression" dxfId="342" priority="366">
      <formula>(I186/I187&gt;1.5)</formula>
    </cfRule>
  </conditionalFormatting>
  <conditionalFormatting sqref="J184">
    <cfRule type="expression" dxfId="341" priority="367">
      <formula>#REF!=5</formula>
    </cfRule>
  </conditionalFormatting>
  <conditionalFormatting sqref="N232">
    <cfRule type="expression" dxfId="340" priority="362">
      <formula>(I230/I231&gt;1.5)</formula>
    </cfRule>
  </conditionalFormatting>
  <conditionalFormatting sqref="J228">
    <cfRule type="expression" dxfId="339" priority="363">
      <formula>#REF!=5</formula>
    </cfRule>
  </conditionalFormatting>
  <conditionalFormatting sqref="N254">
    <cfRule type="expression" dxfId="338" priority="360">
      <formula>(I252/I253&gt;1.5)</formula>
    </cfRule>
  </conditionalFormatting>
  <conditionalFormatting sqref="J250">
    <cfRule type="expression" dxfId="337" priority="361">
      <formula>#REF!=5</formula>
    </cfRule>
  </conditionalFormatting>
  <conditionalFormatting sqref="O47">
    <cfRule type="expression" dxfId="336" priority="359">
      <formula>AH47</formula>
    </cfRule>
  </conditionalFormatting>
  <conditionalFormatting sqref="O47">
    <cfRule type="expression" dxfId="335" priority="358">
      <formula>$AJ47&lt;2</formula>
    </cfRule>
  </conditionalFormatting>
  <conditionalFormatting sqref="O46">
    <cfRule type="expression" dxfId="334" priority="357">
      <formula>AH46</formula>
    </cfRule>
  </conditionalFormatting>
  <conditionalFormatting sqref="O46">
    <cfRule type="expression" dxfId="333" priority="356">
      <formula>$AJ46&lt;2</formula>
    </cfRule>
  </conditionalFormatting>
  <conditionalFormatting sqref="O44:P44">
    <cfRule type="expression" dxfId="332" priority="355">
      <formula>AH44</formula>
    </cfRule>
  </conditionalFormatting>
  <conditionalFormatting sqref="P44">
    <cfRule type="expression" dxfId="331" priority="354">
      <formula>$AJ44&lt;3</formula>
    </cfRule>
  </conditionalFormatting>
  <conditionalFormatting sqref="O44">
    <cfRule type="expression" dxfId="330" priority="353">
      <formula>$AJ44&lt;2</formula>
    </cfRule>
  </conditionalFormatting>
  <conditionalFormatting sqref="O45:P45">
    <cfRule type="expression" dxfId="329" priority="352">
      <formula>AH45</formula>
    </cfRule>
  </conditionalFormatting>
  <conditionalFormatting sqref="P45">
    <cfRule type="expression" dxfId="328" priority="351">
      <formula>$AJ45&lt;3</formula>
    </cfRule>
  </conditionalFormatting>
  <conditionalFormatting sqref="O45">
    <cfRule type="expression" dxfId="327" priority="350">
      <formula>$AJ45&lt;2</formula>
    </cfRule>
  </conditionalFormatting>
  <conditionalFormatting sqref="O46:O47">
    <cfRule type="expression" dxfId="326" priority="349">
      <formula>$AJ46&lt;2</formula>
    </cfRule>
  </conditionalFormatting>
  <conditionalFormatting sqref="O45">
    <cfRule type="expression" dxfId="325" priority="348">
      <formula>AH45</formula>
    </cfRule>
  </conditionalFormatting>
  <conditionalFormatting sqref="O45">
    <cfRule type="expression" dxfId="324" priority="347">
      <formula>$AJ45&lt;2</formula>
    </cfRule>
  </conditionalFormatting>
  <conditionalFormatting sqref="O44">
    <cfRule type="expression" dxfId="323" priority="346">
      <formula>AH44</formula>
    </cfRule>
  </conditionalFormatting>
  <conditionalFormatting sqref="O44">
    <cfRule type="expression" dxfId="322" priority="345">
      <formula>$AJ44&lt;2</formula>
    </cfRule>
  </conditionalFormatting>
  <conditionalFormatting sqref="B40:B50 D40:D50">
    <cfRule type="expression" dxfId="321" priority="342">
      <formula>$E40=""</formula>
    </cfRule>
  </conditionalFormatting>
  <conditionalFormatting sqref="D40:D50">
    <cfRule type="expression" dxfId="320" priority="341">
      <formula>$C40=""</formula>
    </cfRule>
  </conditionalFormatting>
  <conditionalFormatting sqref="C40:C51">
    <cfRule type="expression" dxfId="319" priority="340">
      <formula>$E40=""</formula>
    </cfRule>
  </conditionalFormatting>
  <conditionalFormatting sqref="O40:P41">
    <cfRule type="expression" dxfId="318" priority="339">
      <formula>AH40</formula>
    </cfRule>
  </conditionalFormatting>
  <conditionalFormatting sqref="P40:P41">
    <cfRule type="expression" dxfId="317" priority="338">
      <formula>$AJ40&lt;3</formula>
    </cfRule>
  </conditionalFormatting>
  <conditionalFormatting sqref="O40:O41">
    <cfRule type="expression" dxfId="316" priority="337">
      <formula>$AJ40&lt;2</formula>
    </cfRule>
  </conditionalFormatting>
  <conditionalFormatting sqref="O42:P42">
    <cfRule type="expression" dxfId="315" priority="336">
      <formula>AH42</formula>
    </cfRule>
  </conditionalFormatting>
  <conditionalFormatting sqref="P42">
    <cfRule type="expression" dxfId="314" priority="335">
      <formula>$AJ42&lt;3</formula>
    </cfRule>
  </conditionalFormatting>
  <conditionalFormatting sqref="O42">
    <cfRule type="expression" dxfId="313" priority="334">
      <formula>$AJ42&lt;2</formula>
    </cfRule>
  </conditionalFormatting>
  <conditionalFormatting sqref="O43:P43">
    <cfRule type="expression" dxfId="312" priority="333">
      <formula>AH43</formula>
    </cfRule>
  </conditionalFormatting>
  <conditionalFormatting sqref="P43">
    <cfRule type="expression" dxfId="311" priority="332">
      <formula>$AJ43&lt;3</formula>
    </cfRule>
  </conditionalFormatting>
  <conditionalFormatting sqref="O43">
    <cfRule type="expression" dxfId="310" priority="331">
      <formula>$AJ43&lt;2</formula>
    </cfRule>
  </conditionalFormatting>
  <conditionalFormatting sqref="C62:C65">
    <cfRule type="expression" dxfId="309" priority="215">
      <formula>$E62=""</formula>
    </cfRule>
  </conditionalFormatting>
  <conditionalFormatting sqref="B66:B73">
    <cfRule type="expression" dxfId="308" priority="320">
      <formula>$E66=""</formula>
    </cfRule>
  </conditionalFormatting>
  <conditionalFormatting sqref="D62:D73">
    <cfRule type="expression" dxfId="307" priority="319">
      <formula>$E62=""</formula>
    </cfRule>
  </conditionalFormatting>
  <conditionalFormatting sqref="D62:D73">
    <cfRule type="expression" dxfId="306" priority="318">
      <formula>$C62=""</formula>
    </cfRule>
  </conditionalFormatting>
  <conditionalFormatting sqref="C66:C73">
    <cfRule type="expression" dxfId="305" priority="317">
      <formula>$E66=""</formula>
    </cfRule>
  </conditionalFormatting>
  <conditionalFormatting sqref="O130:P130">
    <cfRule type="expression" dxfId="304" priority="285">
      <formula>AH130</formula>
    </cfRule>
  </conditionalFormatting>
  <conditionalFormatting sqref="P130">
    <cfRule type="expression" dxfId="303" priority="284">
      <formula>$AJ130&lt;3</formula>
    </cfRule>
  </conditionalFormatting>
  <conditionalFormatting sqref="O130">
    <cfRule type="expression" dxfId="302" priority="283">
      <formula>$AJ130&lt;2</formula>
    </cfRule>
  </conditionalFormatting>
  <conditionalFormatting sqref="O131:P131">
    <cfRule type="expression" dxfId="301" priority="282">
      <formula>AH131</formula>
    </cfRule>
  </conditionalFormatting>
  <conditionalFormatting sqref="P131">
    <cfRule type="expression" dxfId="300" priority="281">
      <formula>$AJ131&lt;3</formula>
    </cfRule>
  </conditionalFormatting>
  <conditionalFormatting sqref="O131">
    <cfRule type="expression" dxfId="299" priority="280">
      <formula>$AJ131&lt;2</formula>
    </cfRule>
  </conditionalFormatting>
  <conditionalFormatting sqref="O129">
    <cfRule type="expression" dxfId="298" priority="274">
      <formula>$AJ129&lt;2</formula>
    </cfRule>
  </conditionalFormatting>
  <conditionalFormatting sqref="O128">
    <cfRule type="expression" dxfId="297" priority="279">
      <formula>AH128</formula>
    </cfRule>
  </conditionalFormatting>
  <conditionalFormatting sqref="O128">
    <cfRule type="expression" dxfId="296" priority="277">
      <formula>$AJ128&lt;2</formula>
    </cfRule>
  </conditionalFormatting>
  <conditionalFormatting sqref="O129:P129">
    <cfRule type="expression" dxfId="295" priority="276">
      <formula>AH129</formula>
    </cfRule>
  </conditionalFormatting>
  <conditionalFormatting sqref="P129">
    <cfRule type="expression" dxfId="294" priority="275">
      <formula>$AJ129&lt;3</formula>
    </cfRule>
  </conditionalFormatting>
  <conditionalFormatting sqref="O134:P134">
    <cfRule type="expression" dxfId="293" priority="270">
      <formula>AH134</formula>
    </cfRule>
  </conditionalFormatting>
  <conditionalFormatting sqref="P134">
    <cfRule type="expression" dxfId="292" priority="269">
      <formula>$AJ134&lt;3</formula>
    </cfRule>
  </conditionalFormatting>
  <conditionalFormatting sqref="O134">
    <cfRule type="expression" dxfId="291" priority="268">
      <formula>$AJ134&lt;2</formula>
    </cfRule>
  </conditionalFormatting>
  <conditionalFormatting sqref="O132:P132">
    <cfRule type="expression" dxfId="290" priority="273">
      <formula>AH132</formula>
    </cfRule>
  </conditionalFormatting>
  <conditionalFormatting sqref="P132">
    <cfRule type="expression" dxfId="289" priority="272">
      <formula>$AJ132&lt;3</formula>
    </cfRule>
  </conditionalFormatting>
  <conditionalFormatting sqref="O132">
    <cfRule type="expression" dxfId="288" priority="271">
      <formula>$AJ132&lt;2</formula>
    </cfRule>
  </conditionalFormatting>
  <conditionalFormatting sqref="O133:P133">
    <cfRule type="expression" dxfId="287" priority="267">
      <formula>AH133</formula>
    </cfRule>
  </conditionalFormatting>
  <conditionalFormatting sqref="P133">
    <cfRule type="expression" dxfId="286" priority="266">
      <formula>$AJ133&lt;3</formula>
    </cfRule>
  </conditionalFormatting>
  <conditionalFormatting sqref="O133">
    <cfRule type="expression" dxfId="285" priority="265">
      <formula>$AJ133&lt;2</formula>
    </cfRule>
  </conditionalFormatting>
  <conditionalFormatting sqref="O134:P134">
    <cfRule type="expression" dxfId="284" priority="264">
      <formula>AH134</formula>
    </cfRule>
  </conditionalFormatting>
  <conditionalFormatting sqref="P134">
    <cfRule type="expression" dxfId="283" priority="263">
      <formula>$AJ134&lt;3</formula>
    </cfRule>
  </conditionalFormatting>
  <conditionalFormatting sqref="O134">
    <cfRule type="expression" dxfId="282" priority="262">
      <formula>$AJ134&lt;2</formula>
    </cfRule>
  </conditionalFormatting>
  <conditionalFormatting sqref="B134">
    <cfRule type="expression" dxfId="281" priority="261">
      <formula>$E134=""</formula>
    </cfRule>
  </conditionalFormatting>
  <conditionalFormatting sqref="D134">
    <cfRule type="expression" dxfId="280" priority="260">
      <formula>$E134=""</formula>
    </cfRule>
  </conditionalFormatting>
  <conditionalFormatting sqref="D134">
    <cfRule type="expression" dxfId="279" priority="259">
      <formula>$C134=""</formula>
    </cfRule>
  </conditionalFormatting>
  <conditionalFormatting sqref="C134">
    <cfRule type="expression" dxfId="278" priority="258">
      <formula>$E134=""</formula>
    </cfRule>
  </conditionalFormatting>
  <conditionalFormatting sqref="B106:B112">
    <cfRule type="expression" dxfId="277" priority="257">
      <formula>$E106=""</formula>
    </cfRule>
  </conditionalFormatting>
  <conditionalFormatting sqref="D106:D108 D111:D112">
    <cfRule type="expression" dxfId="276" priority="256">
      <formula>$E106=""</formula>
    </cfRule>
  </conditionalFormatting>
  <conditionalFormatting sqref="D106:D108 D111:D112">
    <cfRule type="expression" dxfId="275" priority="255">
      <formula>$C106=""</formula>
    </cfRule>
  </conditionalFormatting>
  <conditionalFormatting sqref="C106:C117">
    <cfRule type="expression" dxfId="274" priority="254">
      <formula>$E106=""</formula>
    </cfRule>
  </conditionalFormatting>
  <conditionalFormatting sqref="O110:P112">
    <cfRule type="expression" dxfId="273" priority="253">
      <formula>AH110</formula>
    </cfRule>
  </conditionalFormatting>
  <conditionalFormatting sqref="P110:P112">
    <cfRule type="expression" dxfId="272" priority="252">
      <formula>$AJ110&lt;3</formula>
    </cfRule>
  </conditionalFormatting>
  <conditionalFormatting sqref="O110:O112">
    <cfRule type="expression" dxfId="271" priority="251">
      <formula>$AJ110&lt;2</formula>
    </cfRule>
  </conditionalFormatting>
  <conditionalFormatting sqref="O106:P107">
    <cfRule type="expression" dxfId="270" priority="250">
      <formula>AH106</formula>
    </cfRule>
  </conditionalFormatting>
  <conditionalFormatting sqref="P106:P107">
    <cfRule type="expression" dxfId="269" priority="249">
      <formula>$AJ106&lt;3</formula>
    </cfRule>
  </conditionalFormatting>
  <conditionalFormatting sqref="O106:O107">
    <cfRule type="expression" dxfId="268" priority="248">
      <formula>$AJ106&lt;2</formula>
    </cfRule>
  </conditionalFormatting>
  <conditionalFormatting sqref="O110:P110">
    <cfRule type="expression" dxfId="267" priority="247">
      <formula>AH110</formula>
    </cfRule>
  </conditionalFormatting>
  <conditionalFormatting sqref="P110">
    <cfRule type="expression" dxfId="266" priority="246">
      <formula>$AJ110&lt;3</formula>
    </cfRule>
  </conditionalFormatting>
  <conditionalFormatting sqref="O110">
    <cfRule type="expression" dxfId="265" priority="245">
      <formula>$AJ110&lt;2</formula>
    </cfRule>
  </conditionalFormatting>
  <conditionalFormatting sqref="O108:P108">
    <cfRule type="expression" dxfId="264" priority="244">
      <formula>AH108</formula>
    </cfRule>
  </conditionalFormatting>
  <conditionalFormatting sqref="P108">
    <cfRule type="expression" dxfId="263" priority="243">
      <formula>$AJ108&lt;3</formula>
    </cfRule>
  </conditionalFormatting>
  <conditionalFormatting sqref="O108">
    <cfRule type="expression" dxfId="262" priority="242">
      <formula>$AJ108&lt;2</formula>
    </cfRule>
  </conditionalFormatting>
  <conditionalFormatting sqref="O109:P109">
    <cfRule type="expression" dxfId="261" priority="241">
      <formula>AH109</formula>
    </cfRule>
  </conditionalFormatting>
  <conditionalFormatting sqref="P109">
    <cfRule type="expression" dxfId="260" priority="240">
      <formula>$AJ109&lt;3</formula>
    </cfRule>
  </conditionalFormatting>
  <conditionalFormatting sqref="O109">
    <cfRule type="expression" dxfId="259" priority="239">
      <formula>$AJ109&lt;2</formula>
    </cfRule>
  </conditionalFormatting>
  <conditionalFormatting sqref="B84:B95">
    <cfRule type="expression" dxfId="258" priority="238">
      <formula>$E84=""</formula>
    </cfRule>
  </conditionalFormatting>
  <conditionalFormatting sqref="D84:D95">
    <cfRule type="expression" dxfId="257" priority="237">
      <formula>$E84=""</formula>
    </cfRule>
  </conditionalFormatting>
  <conditionalFormatting sqref="D84:D95">
    <cfRule type="expression" dxfId="256" priority="236">
      <formula>$C84=""</formula>
    </cfRule>
  </conditionalFormatting>
  <conditionalFormatting sqref="C84:C95">
    <cfRule type="expression" dxfId="255" priority="235">
      <formula>$E84=""</formula>
    </cfRule>
  </conditionalFormatting>
  <conditionalFormatting sqref="O89:P95">
    <cfRule type="expression" dxfId="254" priority="234">
      <formula>AH89</formula>
    </cfRule>
  </conditionalFormatting>
  <conditionalFormatting sqref="P89:P95">
    <cfRule type="expression" dxfId="253" priority="233">
      <formula>$AJ89&lt;3</formula>
    </cfRule>
  </conditionalFormatting>
  <conditionalFormatting sqref="O89:O95">
    <cfRule type="expression" dxfId="252" priority="232">
      <formula>$AJ89&lt;2</formula>
    </cfRule>
  </conditionalFormatting>
  <conditionalFormatting sqref="O88:P88">
    <cfRule type="expression" dxfId="251" priority="231">
      <formula>AH88</formula>
    </cfRule>
  </conditionalFormatting>
  <conditionalFormatting sqref="P88">
    <cfRule type="expression" dxfId="250" priority="230">
      <formula>$AJ88&lt;3</formula>
    </cfRule>
  </conditionalFormatting>
  <conditionalFormatting sqref="O88">
    <cfRule type="expression" dxfId="249" priority="229">
      <formula>$AJ88&lt;2</formula>
    </cfRule>
  </conditionalFormatting>
  <conditionalFormatting sqref="O86:P86">
    <cfRule type="expression" dxfId="248" priority="228">
      <formula>AH86</formula>
    </cfRule>
  </conditionalFormatting>
  <conditionalFormatting sqref="P86">
    <cfRule type="expression" dxfId="247" priority="227">
      <formula>$AJ86&lt;3</formula>
    </cfRule>
  </conditionalFormatting>
  <conditionalFormatting sqref="O86">
    <cfRule type="expression" dxfId="246" priority="226">
      <formula>$AJ86&lt;2</formula>
    </cfRule>
  </conditionalFormatting>
  <conditionalFormatting sqref="O87:P87">
    <cfRule type="expression" dxfId="245" priority="225">
      <formula>AH87</formula>
    </cfRule>
  </conditionalFormatting>
  <conditionalFormatting sqref="P87">
    <cfRule type="expression" dxfId="244" priority="224">
      <formula>$AJ87&lt;3</formula>
    </cfRule>
  </conditionalFormatting>
  <conditionalFormatting sqref="O87">
    <cfRule type="expression" dxfId="243" priority="223">
      <formula>$AJ87&lt;2</formula>
    </cfRule>
  </conditionalFormatting>
  <conditionalFormatting sqref="O85">
    <cfRule type="expression" dxfId="242" priority="220">
      <formula>$AJ85&lt;2</formula>
    </cfRule>
  </conditionalFormatting>
  <conditionalFormatting sqref="O85:P85">
    <cfRule type="expression" dxfId="241" priority="222">
      <formula>AH85</formula>
    </cfRule>
  </conditionalFormatting>
  <conditionalFormatting sqref="P85">
    <cfRule type="expression" dxfId="240" priority="221">
      <formula>$AJ85&lt;3</formula>
    </cfRule>
  </conditionalFormatting>
  <conditionalFormatting sqref="O84:P84">
    <cfRule type="expression" dxfId="239" priority="219">
      <formula>AH84</formula>
    </cfRule>
  </conditionalFormatting>
  <conditionalFormatting sqref="P84">
    <cfRule type="expression" dxfId="238" priority="218">
      <formula>$AJ84&lt;3</formula>
    </cfRule>
  </conditionalFormatting>
  <conditionalFormatting sqref="O84">
    <cfRule type="expression" dxfId="237" priority="217">
      <formula>$AJ84&lt;2</formula>
    </cfRule>
  </conditionalFormatting>
  <conditionalFormatting sqref="B62:B65">
    <cfRule type="expression" dxfId="236" priority="216">
      <formula>$E62=""</formula>
    </cfRule>
  </conditionalFormatting>
  <conditionalFormatting sqref="O62:P63">
    <cfRule type="expression" dxfId="235" priority="214">
      <formula>AH62</formula>
    </cfRule>
  </conditionalFormatting>
  <conditionalFormatting sqref="P62:P63">
    <cfRule type="expression" dxfId="234" priority="213">
      <formula>$AJ62&lt;3</formula>
    </cfRule>
  </conditionalFormatting>
  <conditionalFormatting sqref="O62:O63">
    <cfRule type="expression" dxfId="233" priority="212">
      <formula>$AJ62&lt;2</formula>
    </cfRule>
  </conditionalFormatting>
  <conditionalFormatting sqref="O64:P64">
    <cfRule type="expression" dxfId="232" priority="211">
      <formula>AH64</formula>
    </cfRule>
  </conditionalFormatting>
  <conditionalFormatting sqref="P64">
    <cfRule type="expression" dxfId="231" priority="210">
      <formula>$AJ64&lt;3</formula>
    </cfRule>
  </conditionalFormatting>
  <conditionalFormatting sqref="O64">
    <cfRule type="expression" dxfId="230" priority="209">
      <formula>$AJ64&lt;2</formula>
    </cfRule>
  </conditionalFormatting>
  <conditionalFormatting sqref="O65:P65">
    <cfRule type="expression" dxfId="229" priority="208">
      <formula>AH65</formula>
    </cfRule>
  </conditionalFormatting>
  <conditionalFormatting sqref="P65">
    <cfRule type="expression" dxfId="228" priority="207">
      <formula>$AJ65&lt;3</formula>
    </cfRule>
  </conditionalFormatting>
  <conditionalFormatting sqref="O65">
    <cfRule type="expression" dxfId="227" priority="206">
      <formula>$AJ65&lt;2</formula>
    </cfRule>
  </conditionalFormatting>
  <conditionalFormatting sqref="B112">
    <cfRule type="expression" dxfId="226" priority="205">
      <formula>$E112=""</formula>
    </cfRule>
  </conditionalFormatting>
  <conditionalFormatting sqref="D112">
    <cfRule type="expression" dxfId="225" priority="204">
      <formula>$E112=""</formula>
    </cfRule>
  </conditionalFormatting>
  <conditionalFormatting sqref="D112">
    <cfRule type="expression" dxfId="224" priority="203">
      <formula>$C112=""</formula>
    </cfRule>
  </conditionalFormatting>
  <conditionalFormatting sqref="O112:P112">
    <cfRule type="expression" dxfId="223" priority="201">
      <formula>AH112</formula>
    </cfRule>
  </conditionalFormatting>
  <conditionalFormatting sqref="P112">
    <cfRule type="expression" dxfId="222" priority="200">
      <formula>$AJ112&lt;3</formula>
    </cfRule>
  </conditionalFormatting>
  <conditionalFormatting sqref="O112">
    <cfRule type="expression" dxfId="221" priority="199">
      <formula>$AJ112&lt;2</formula>
    </cfRule>
  </conditionalFormatting>
  <conditionalFormatting sqref="O109:P109">
    <cfRule type="expression" dxfId="220" priority="198">
      <formula>AH109</formula>
    </cfRule>
  </conditionalFormatting>
  <conditionalFormatting sqref="P109">
    <cfRule type="expression" dxfId="219" priority="197">
      <formula>$AJ109&lt;3</formula>
    </cfRule>
  </conditionalFormatting>
  <conditionalFormatting sqref="O109">
    <cfRule type="expression" dxfId="218" priority="196">
      <formula>$AJ109&lt;2</formula>
    </cfRule>
  </conditionalFormatting>
  <conditionalFormatting sqref="B134">
    <cfRule type="expression" dxfId="217" priority="195">
      <formula>$E134=""</formula>
    </cfRule>
  </conditionalFormatting>
  <conditionalFormatting sqref="D134">
    <cfRule type="expression" dxfId="216" priority="194">
      <formula>$E134=""</formula>
    </cfRule>
  </conditionalFormatting>
  <conditionalFormatting sqref="D134">
    <cfRule type="expression" dxfId="215" priority="193">
      <formula>$C134=""</formula>
    </cfRule>
  </conditionalFormatting>
  <conditionalFormatting sqref="C134">
    <cfRule type="expression" dxfId="214" priority="192">
      <formula>$E134=""</formula>
    </cfRule>
  </conditionalFormatting>
  <conditionalFormatting sqref="O134:P134">
    <cfRule type="expression" dxfId="213" priority="191">
      <formula>AH134</formula>
    </cfRule>
  </conditionalFormatting>
  <conditionalFormatting sqref="P134">
    <cfRule type="expression" dxfId="212" priority="190">
      <formula>$AJ134&lt;3</formula>
    </cfRule>
  </conditionalFormatting>
  <conditionalFormatting sqref="O134">
    <cfRule type="expression" dxfId="211" priority="189">
      <formula>$AJ134&lt;2</formula>
    </cfRule>
  </conditionalFormatting>
  <conditionalFormatting sqref="O133:P133">
    <cfRule type="expression" dxfId="210" priority="188">
      <formula>AH133</formula>
    </cfRule>
  </conditionalFormatting>
  <conditionalFormatting sqref="P133">
    <cfRule type="expression" dxfId="209" priority="187">
      <formula>$AJ133&lt;3</formula>
    </cfRule>
  </conditionalFormatting>
  <conditionalFormatting sqref="O133">
    <cfRule type="expression" dxfId="208" priority="186">
      <formula>$AJ133&lt;2</formula>
    </cfRule>
  </conditionalFormatting>
  <conditionalFormatting sqref="O132:P132">
    <cfRule type="expression" dxfId="207" priority="185">
      <formula>AH132</formula>
    </cfRule>
  </conditionalFormatting>
  <conditionalFormatting sqref="P132">
    <cfRule type="expression" dxfId="206" priority="184">
      <formula>$AJ132&lt;3</formula>
    </cfRule>
  </conditionalFormatting>
  <conditionalFormatting sqref="O132">
    <cfRule type="expression" dxfId="205" priority="183">
      <formula>$AJ132&lt;2</formula>
    </cfRule>
  </conditionalFormatting>
  <conditionalFormatting sqref="O133:P133">
    <cfRule type="expression" dxfId="204" priority="182">
      <formula>AH133</formula>
    </cfRule>
  </conditionalFormatting>
  <conditionalFormatting sqref="P133">
    <cfRule type="expression" dxfId="203" priority="181">
      <formula>$AJ133&lt;3</formula>
    </cfRule>
  </conditionalFormatting>
  <conditionalFormatting sqref="O133">
    <cfRule type="expression" dxfId="202" priority="180">
      <formula>$AJ133&lt;2</formula>
    </cfRule>
  </conditionalFormatting>
  <conditionalFormatting sqref="I6:I17 I21:I32 I58 I80 I146 I190 I212 I234 I102 I168 I36 I124">
    <cfRule type="cellIs" dxfId="201" priority="179" operator="greaterThanOrEqual">
      <formula>1</formula>
    </cfRule>
  </conditionalFormatting>
  <conditionalFormatting sqref="D109:D110">
    <cfRule type="expression" dxfId="200" priority="172">
      <formula>$E109=""</formula>
    </cfRule>
  </conditionalFormatting>
  <conditionalFormatting sqref="D109:D110">
    <cfRule type="expression" dxfId="199" priority="171">
      <formula>$C109=""</formula>
    </cfRule>
  </conditionalFormatting>
  <conditionalFormatting sqref="O154:P155">
    <cfRule type="expression" dxfId="198" priority="162">
      <formula>AH154</formula>
    </cfRule>
  </conditionalFormatting>
  <conditionalFormatting sqref="P154:P155">
    <cfRule type="expression" dxfId="197" priority="161">
      <formula>$AJ154&lt;3</formula>
    </cfRule>
  </conditionalFormatting>
  <conditionalFormatting sqref="O154:O155">
    <cfRule type="expression" dxfId="196" priority="160">
      <formula>$AJ154&lt;2</formula>
    </cfRule>
  </conditionalFormatting>
  <conditionalFormatting sqref="O150:P151">
    <cfRule type="expression" dxfId="195" priority="159">
      <formula>AH150</formula>
    </cfRule>
  </conditionalFormatting>
  <conditionalFormatting sqref="P150:P151">
    <cfRule type="expression" dxfId="194" priority="158">
      <formula>$AJ150&lt;3</formula>
    </cfRule>
  </conditionalFormatting>
  <conditionalFormatting sqref="O150:O151">
    <cfRule type="expression" dxfId="193" priority="157">
      <formula>$AJ150&lt;2</formula>
    </cfRule>
  </conditionalFormatting>
  <conditionalFormatting sqref="O154:P154">
    <cfRule type="expression" dxfId="192" priority="156">
      <formula>AH154</formula>
    </cfRule>
  </conditionalFormatting>
  <conditionalFormatting sqref="P154">
    <cfRule type="expression" dxfId="191" priority="155">
      <formula>$AJ154&lt;3</formula>
    </cfRule>
  </conditionalFormatting>
  <conditionalFormatting sqref="O154">
    <cfRule type="expression" dxfId="190" priority="154">
      <formula>$AJ154&lt;2</formula>
    </cfRule>
  </conditionalFormatting>
  <conditionalFormatting sqref="O152:P152">
    <cfRule type="expression" dxfId="189" priority="153">
      <formula>AH152</formula>
    </cfRule>
  </conditionalFormatting>
  <conditionalFormatting sqref="P152">
    <cfRule type="expression" dxfId="188" priority="152">
      <formula>$AJ152&lt;3</formula>
    </cfRule>
  </conditionalFormatting>
  <conditionalFormatting sqref="O152">
    <cfRule type="expression" dxfId="187" priority="151">
      <formula>$AJ152&lt;2</formula>
    </cfRule>
  </conditionalFormatting>
  <conditionalFormatting sqref="O153:P153">
    <cfRule type="expression" dxfId="186" priority="150">
      <formula>AH153</formula>
    </cfRule>
  </conditionalFormatting>
  <conditionalFormatting sqref="P153">
    <cfRule type="expression" dxfId="185" priority="149">
      <formula>$AJ153&lt;3</formula>
    </cfRule>
  </conditionalFormatting>
  <conditionalFormatting sqref="O153">
    <cfRule type="expression" dxfId="184" priority="148">
      <formula>$AJ153&lt;2</formula>
    </cfRule>
  </conditionalFormatting>
  <conditionalFormatting sqref="O153:P153">
    <cfRule type="expression" dxfId="183" priority="147">
      <formula>AH153</formula>
    </cfRule>
  </conditionalFormatting>
  <conditionalFormatting sqref="P153">
    <cfRule type="expression" dxfId="182" priority="146">
      <formula>$AJ153&lt;3</formula>
    </cfRule>
  </conditionalFormatting>
  <conditionalFormatting sqref="O153">
    <cfRule type="expression" dxfId="181" priority="145">
      <formula>$AJ153&lt;2</formula>
    </cfRule>
  </conditionalFormatting>
  <conditionalFormatting sqref="O176:P177">
    <cfRule type="expression" dxfId="180" priority="137">
      <formula>AH176</formula>
    </cfRule>
  </conditionalFormatting>
  <conditionalFormatting sqref="P176:P177">
    <cfRule type="expression" dxfId="179" priority="136">
      <formula>$AJ176&lt;3</formula>
    </cfRule>
  </conditionalFormatting>
  <conditionalFormatting sqref="O176:O177">
    <cfRule type="expression" dxfId="178" priority="135">
      <formula>$AJ176&lt;2</formula>
    </cfRule>
  </conditionalFormatting>
  <conditionalFormatting sqref="O172:P173">
    <cfRule type="expression" dxfId="177" priority="134">
      <formula>AH172</formula>
    </cfRule>
  </conditionalFormatting>
  <conditionalFormatting sqref="P172:P173">
    <cfRule type="expression" dxfId="176" priority="133">
      <formula>$AJ172&lt;3</formula>
    </cfRule>
  </conditionalFormatting>
  <conditionalFormatting sqref="O172:O173">
    <cfRule type="expression" dxfId="175" priority="132">
      <formula>$AJ172&lt;2</formula>
    </cfRule>
  </conditionalFormatting>
  <conditionalFormatting sqref="O176:P176">
    <cfRule type="expression" dxfId="174" priority="131">
      <formula>AH176</formula>
    </cfRule>
  </conditionalFormatting>
  <conditionalFormatting sqref="P176">
    <cfRule type="expression" dxfId="173" priority="130">
      <formula>$AJ176&lt;3</formula>
    </cfRule>
  </conditionalFormatting>
  <conditionalFormatting sqref="O176">
    <cfRule type="expression" dxfId="172" priority="129">
      <formula>$AJ176&lt;2</formula>
    </cfRule>
  </conditionalFormatting>
  <conditionalFormatting sqref="O174:P174">
    <cfRule type="expression" dxfId="171" priority="128">
      <formula>AH174</formula>
    </cfRule>
  </conditionalFormatting>
  <conditionalFormatting sqref="P174">
    <cfRule type="expression" dxfId="170" priority="127">
      <formula>$AJ174&lt;3</formula>
    </cfRule>
  </conditionalFormatting>
  <conditionalFormatting sqref="O174">
    <cfRule type="expression" dxfId="169" priority="126">
      <formula>$AJ174&lt;2</formula>
    </cfRule>
  </conditionalFormatting>
  <conditionalFormatting sqref="O175:P175">
    <cfRule type="expression" dxfId="168" priority="125">
      <formula>AH175</formula>
    </cfRule>
  </conditionalFormatting>
  <conditionalFormatting sqref="P175">
    <cfRule type="expression" dxfId="167" priority="124">
      <formula>$AJ175&lt;3</formula>
    </cfRule>
  </conditionalFormatting>
  <conditionalFormatting sqref="O175">
    <cfRule type="expression" dxfId="166" priority="123">
      <formula>$AJ175&lt;2</formula>
    </cfRule>
  </conditionalFormatting>
  <conditionalFormatting sqref="O175:P175">
    <cfRule type="expression" dxfId="165" priority="122">
      <formula>AH175</formula>
    </cfRule>
  </conditionalFormatting>
  <conditionalFormatting sqref="P175">
    <cfRule type="expression" dxfId="164" priority="121">
      <formula>$AJ175&lt;3</formula>
    </cfRule>
  </conditionalFormatting>
  <conditionalFormatting sqref="O175">
    <cfRule type="expression" dxfId="163" priority="120">
      <formula>$AJ175&lt;2</formula>
    </cfRule>
  </conditionalFormatting>
  <conditionalFormatting sqref="B194:B199">
    <cfRule type="expression" dxfId="162" priority="106">
      <formula>$E194=""</formula>
    </cfRule>
  </conditionalFormatting>
  <conditionalFormatting sqref="D194:D196 D199">
    <cfRule type="expression" dxfId="161" priority="105">
      <formula>$E194=""</formula>
    </cfRule>
  </conditionalFormatting>
  <conditionalFormatting sqref="D194:D196 D199">
    <cfRule type="expression" dxfId="160" priority="104">
      <formula>$C194=""</formula>
    </cfRule>
  </conditionalFormatting>
  <conditionalFormatting sqref="D197:D198">
    <cfRule type="expression" dxfId="159" priority="102">
      <formula>$E197=""</formula>
    </cfRule>
  </conditionalFormatting>
  <conditionalFormatting sqref="D197:D198">
    <cfRule type="expression" dxfId="158" priority="101">
      <formula>$C197=""</formula>
    </cfRule>
  </conditionalFormatting>
  <conditionalFormatting sqref="O198:P199">
    <cfRule type="expression" dxfId="157" priority="99">
      <formula>AH198</formula>
    </cfRule>
  </conditionalFormatting>
  <conditionalFormatting sqref="P198:P199">
    <cfRule type="expression" dxfId="156" priority="98">
      <formula>$AJ198&lt;3</formula>
    </cfRule>
  </conditionalFormatting>
  <conditionalFormatting sqref="O198:O199">
    <cfRule type="expression" dxfId="155" priority="97">
      <formula>$AJ198&lt;2</formula>
    </cfRule>
  </conditionalFormatting>
  <conditionalFormatting sqref="O194:P195">
    <cfRule type="expression" dxfId="154" priority="96">
      <formula>AH194</formula>
    </cfRule>
  </conditionalFormatting>
  <conditionalFormatting sqref="P194:P195">
    <cfRule type="expression" dxfId="153" priority="95">
      <formula>$AJ194&lt;3</formula>
    </cfRule>
  </conditionalFormatting>
  <conditionalFormatting sqref="O194:O195">
    <cfRule type="expression" dxfId="152" priority="94">
      <formula>$AJ194&lt;2</formula>
    </cfRule>
  </conditionalFormatting>
  <conditionalFormatting sqref="O198:P198">
    <cfRule type="expression" dxfId="151" priority="93">
      <formula>AH198</formula>
    </cfRule>
  </conditionalFormatting>
  <conditionalFormatting sqref="P198">
    <cfRule type="expression" dxfId="150" priority="92">
      <formula>$AJ198&lt;3</formula>
    </cfRule>
  </conditionalFormatting>
  <conditionalFormatting sqref="O198">
    <cfRule type="expression" dxfId="149" priority="91">
      <formula>$AJ198&lt;2</formula>
    </cfRule>
  </conditionalFormatting>
  <conditionalFormatting sqref="O196:P196">
    <cfRule type="expression" dxfId="148" priority="90">
      <formula>AH196</formula>
    </cfRule>
  </conditionalFormatting>
  <conditionalFormatting sqref="P196">
    <cfRule type="expression" dxfId="147" priority="89">
      <formula>$AJ196&lt;3</formula>
    </cfRule>
  </conditionalFormatting>
  <conditionalFormatting sqref="O196">
    <cfRule type="expression" dxfId="146" priority="88">
      <formula>$AJ196&lt;2</formula>
    </cfRule>
  </conditionalFormatting>
  <conditionalFormatting sqref="O197:P197">
    <cfRule type="expression" dxfId="145" priority="87">
      <formula>AH197</formula>
    </cfRule>
  </conditionalFormatting>
  <conditionalFormatting sqref="P197">
    <cfRule type="expression" dxfId="144" priority="86">
      <formula>$AJ197&lt;3</formula>
    </cfRule>
  </conditionalFormatting>
  <conditionalFormatting sqref="O197">
    <cfRule type="expression" dxfId="143" priority="85">
      <formula>$AJ197&lt;2</formula>
    </cfRule>
  </conditionalFormatting>
  <conditionalFormatting sqref="O197:P197">
    <cfRule type="expression" dxfId="142" priority="84">
      <formula>AH197</formula>
    </cfRule>
  </conditionalFormatting>
  <conditionalFormatting sqref="P197">
    <cfRule type="expression" dxfId="141" priority="83">
      <formula>$AJ197&lt;3</formula>
    </cfRule>
  </conditionalFormatting>
  <conditionalFormatting sqref="O197">
    <cfRule type="expression" dxfId="140" priority="82">
      <formula>$AJ197&lt;2</formula>
    </cfRule>
  </conditionalFormatting>
  <conditionalFormatting sqref="O220:P221">
    <cfRule type="expression" dxfId="139" priority="81">
      <formula>AH220</formula>
    </cfRule>
  </conditionalFormatting>
  <conditionalFormatting sqref="P220:P221">
    <cfRule type="expression" dxfId="138" priority="80">
      <formula>$AJ220&lt;3</formula>
    </cfRule>
  </conditionalFormatting>
  <conditionalFormatting sqref="O220:O221">
    <cfRule type="expression" dxfId="137" priority="79">
      <formula>$AJ220&lt;2</formula>
    </cfRule>
  </conditionalFormatting>
  <conditionalFormatting sqref="O216:P217">
    <cfRule type="expression" dxfId="136" priority="78">
      <formula>AH216</formula>
    </cfRule>
  </conditionalFormatting>
  <conditionalFormatting sqref="P216:P217">
    <cfRule type="expression" dxfId="135" priority="77">
      <formula>$AJ216&lt;3</formula>
    </cfRule>
  </conditionalFormatting>
  <conditionalFormatting sqref="O216:O217">
    <cfRule type="expression" dxfId="134" priority="76">
      <formula>$AJ216&lt;2</formula>
    </cfRule>
  </conditionalFormatting>
  <conditionalFormatting sqref="O220:P220">
    <cfRule type="expression" dxfId="133" priority="75">
      <formula>AH220</formula>
    </cfRule>
  </conditionalFormatting>
  <conditionalFormatting sqref="P220">
    <cfRule type="expression" dxfId="132" priority="74">
      <formula>$AJ220&lt;3</formula>
    </cfRule>
  </conditionalFormatting>
  <conditionalFormatting sqref="O220">
    <cfRule type="expression" dxfId="131" priority="73">
      <formula>$AJ220&lt;2</formula>
    </cfRule>
  </conditionalFormatting>
  <conditionalFormatting sqref="O218:P218">
    <cfRule type="expression" dxfId="130" priority="72">
      <formula>AH218</formula>
    </cfRule>
  </conditionalFormatting>
  <conditionalFormatting sqref="P218">
    <cfRule type="expression" dxfId="129" priority="71">
      <formula>$AJ218&lt;3</formula>
    </cfRule>
  </conditionalFormatting>
  <conditionalFormatting sqref="O218">
    <cfRule type="expression" dxfId="128" priority="70">
      <formula>$AJ218&lt;2</formula>
    </cfRule>
  </conditionalFormatting>
  <conditionalFormatting sqref="O219:P219">
    <cfRule type="expression" dxfId="127" priority="69">
      <formula>AH219</formula>
    </cfRule>
  </conditionalFormatting>
  <conditionalFormatting sqref="P219">
    <cfRule type="expression" dxfId="126" priority="68">
      <formula>$AJ219&lt;3</formula>
    </cfRule>
  </conditionalFormatting>
  <conditionalFormatting sqref="O219">
    <cfRule type="expression" dxfId="125" priority="67">
      <formula>$AJ219&lt;2</formula>
    </cfRule>
  </conditionalFormatting>
  <conditionalFormatting sqref="O219:P219">
    <cfRule type="expression" dxfId="124" priority="66">
      <formula>AH219</formula>
    </cfRule>
  </conditionalFormatting>
  <conditionalFormatting sqref="P219">
    <cfRule type="expression" dxfId="123" priority="65">
      <formula>$AJ219&lt;3</formula>
    </cfRule>
  </conditionalFormatting>
  <conditionalFormatting sqref="O219">
    <cfRule type="expression" dxfId="122" priority="64">
      <formula>$AJ219&lt;2</formula>
    </cfRule>
  </conditionalFormatting>
  <conditionalFormatting sqref="O242:P243">
    <cfRule type="expression" dxfId="121" priority="63">
      <formula>AH242</formula>
    </cfRule>
  </conditionalFormatting>
  <conditionalFormatting sqref="P242:P243">
    <cfRule type="expression" dxfId="120" priority="62">
      <formula>$AJ242&lt;3</formula>
    </cfRule>
  </conditionalFormatting>
  <conditionalFormatting sqref="O242:O243">
    <cfRule type="expression" dxfId="119" priority="61">
      <formula>$AJ242&lt;2</formula>
    </cfRule>
  </conditionalFormatting>
  <conditionalFormatting sqref="O238:P239">
    <cfRule type="expression" dxfId="118" priority="60">
      <formula>AH238</formula>
    </cfRule>
  </conditionalFormatting>
  <conditionalFormatting sqref="P238:P239">
    <cfRule type="expression" dxfId="117" priority="59">
      <formula>$AJ238&lt;3</formula>
    </cfRule>
  </conditionalFormatting>
  <conditionalFormatting sqref="O238:O239">
    <cfRule type="expression" dxfId="116" priority="58">
      <formula>$AJ238&lt;2</formula>
    </cfRule>
  </conditionalFormatting>
  <conditionalFormatting sqref="O242:P242">
    <cfRule type="expression" dxfId="115" priority="57">
      <formula>AH242</formula>
    </cfRule>
  </conditionalFormatting>
  <conditionalFormatting sqref="P242">
    <cfRule type="expression" dxfId="114" priority="56">
      <formula>$AJ242&lt;3</formula>
    </cfRule>
  </conditionalFormatting>
  <conditionalFormatting sqref="O242">
    <cfRule type="expression" dxfId="113" priority="55">
      <formula>$AJ242&lt;2</formula>
    </cfRule>
  </conditionalFormatting>
  <conditionalFormatting sqref="O240:P240">
    <cfRule type="expression" dxfId="112" priority="54">
      <formula>AH240</formula>
    </cfRule>
  </conditionalFormatting>
  <conditionalFormatting sqref="P240">
    <cfRule type="expression" dxfId="111" priority="53">
      <formula>$AJ240&lt;3</formula>
    </cfRule>
  </conditionalFormatting>
  <conditionalFormatting sqref="O240">
    <cfRule type="expression" dxfId="110" priority="52">
      <formula>$AJ240&lt;2</formula>
    </cfRule>
  </conditionalFormatting>
  <conditionalFormatting sqref="O241:P241">
    <cfRule type="expression" dxfId="109" priority="51">
      <formula>AH241</formula>
    </cfRule>
  </conditionalFormatting>
  <conditionalFormatting sqref="P241">
    <cfRule type="expression" dxfId="108" priority="50">
      <formula>$AJ241&lt;3</formula>
    </cfRule>
  </conditionalFormatting>
  <conditionalFormatting sqref="O241">
    <cfRule type="expression" dxfId="107" priority="49">
      <formula>$AJ241&lt;2</formula>
    </cfRule>
  </conditionalFormatting>
  <conditionalFormatting sqref="O241:P241">
    <cfRule type="expression" dxfId="106" priority="48">
      <formula>AH241</formula>
    </cfRule>
  </conditionalFormatting>
  <conditionalFormatting sqref="P241">
    <cfRule type="expression" dxfId="105" priority="47">
      <formula>$AJ241&lt;3</formula>
    </cfRule>
  </conditionalFormatting>
  <conditionalFormatting sqref="O241">
    <cfRule type="expression" dxfId="104" priority="46">
      <formula>$AJ241&lt;2</formula>
    </cfRule>
  </conditionalFormatting>
  <conditionalFormatting sqref="B216:B221">
    <cfRule type="expression" dxfId="103" priority="45">
      <formula>$E216=""</formula>
    </cfRule>
  </conditionalFormatting>
  <conditionalFormatting sqref="D216:D218 D221">
    <cfRule type="expression" dxfId="102" priority="44">
      <formula>$E216=""</formula>
    </cfRule>
  </conditionalFormatting>
  <conditionalFormatting sqref="D216:D218 D221">
    <cfRule type="expression" dxfId="101" priority="43">
      <formula>$C216=""</formula>
    </cfRule>
  </conditionalFormatting>
  <conditionalFormatting sqref="D219:D220">
    <cfRule type="expression" dxfId="100" priority="41">
      <formula>$E219=""</formula>
    </cfRule>
  </conditionalFormatting>
  <conditionalFormatting sqref="D219:D220">
    <cfRule type="expression" dxfId="99" priority="40">
      <formula>$C219=""</formula>
    </cfRule>
  </conditionalFormatting>
  <conditionalFormatting sqref="B238:B243">
    <cfRule type="expression" dxfId="98" priority="38">
      <formula>$E238=""</formula>
    </cfRule>
  </conditionalFormatting>
  <conditionalFormatting sqref="D238:D240 D243">
    <cfRule type="expression" dxfId="97" priority="37">
      <formula>$E238=""</formula>
    </cfRule>
  </conditionalFormatting>
  <conditionalFormatting sqref="D238:D240 D243">
    <cfRule type="expression" dxfId="96" priority="36">
      <formula>$C238=""</formula>
    </cfRule>
  </conditionalFormatting>
  <conditionalFormatting sqref="D241:D242">
    <cfRule type="expression" dxfId="95" priority="34">
      <formula>$E241=""</formula>
    </cfRule>
  </conditionalFormatting>
  <conditionalFormatting sqref="D241:D242">
    <cfRule type="expression" dxfId="94" priority="33">
      <formula>$C241=""</formula>
    </cfRule>
  </conditionalFormatting>
  <conditionalFormatting sqref="C194:C199">
    <cfRule type="expression" dxfId="93" priority="28">
      <formula>$E194=""</formula>
    </cfRule>
  </conditionalFormatting>
  <conditionalFormatting sqref="C216:C221">
    <cfRule type="expression" dxfId="92" priority="27">
      <formula>$E216=""</formula>
    </cfRule>
  </conditionalFormatting>
  <conditionalFormatting sqref="C238:C243">
    <cfRule type="expression" dxfId="91" priority="26">
      <formula>$E238=""</formula>
    </cfRule>
  </conditionalFormatting>
  <conditionalFormatting sqref="B150:B155">
    <cfRule type="expression" dxfId="90" priority="19">
      <formula>$E150=""</formula>
    </cfRule>
  </conditionalFormatting>
  <conditionalFormatting sqref="D150:D152 D155">
    <cfRule type="expression" dxfId="89" priority="18">
      <formula>$E150=""</formula>
    </cfRule>
  </conditionalFormatting>
  <conditionalFormatting sqref="D150:D152 D155">
    <cfRule type="expression" dxfId="88" priority="17">
      <formula>$C150=""</formula>
    </cfRule>
  </conditionalFormatting>
  <conditionalFormatting sqref="C150:C155">
    <cfRule type="expression" dxfId="87" priority="16">
      <formula>$E150=""</formula>
    </cfRule>
  </conditionalFormatting>
  <conditionalFormatting sqref="D153:D154">
    <cfRule type="expression" dxfId="86" priority="15">
      <formula>$E153=""</formula>
    </cfRule>
  </conditionalFormatting>
  <conditionalFormatting sqref="D153:D154">
    <cfRule type="expression" dxfId="85" priority="14">
      <formula>$C153=""</formula>
    </cfRule>
  </conditionalFormatting>
  <conditionalFormatting sqref="B172:B177">
    <cfRule type="expression" dxfId="84" priority="13">
      <formula>$E172=""</formula>
    </cfRule>
  </conditionalFormatting>
  <conditionalFormatting sqref="D172:D174 D177">
    <cfRule type="expression" dxfId="83" priority="12">
      <formula>$E172=""</formula>
    </cfRule>
  </conditionalFormatting>
  <conditionalFormatting sqref="D172:D174 D177">
    <cfRule type="expression" dxfId="82" priority="11">
      <formula>$C172=""</formula>
    </cfRule>
  </conditionalFormatting>
  <conditionalFormatting sqref="C172:C177">
    <cfRule type="expression" dxfId="81" priority="10">
      <formula>$E172=""</formula>
    </cfRule>
  </conditionalFormatting>
  <conditionalFormatting sqref="D175:D176">
    <cfRule type="expression" dxfId="80" priority="9">
      <formula>$E175=""</formula>
    </cfRule>
  </conditionalFormatting>
  <conditionalFormatting sqref="D175:D176">
    <cfRule type="expression" dxfId="79" priority="8">
      <formula>$C175=""</formula>
    </cfRule>
  </conditionalFormatting>
  <conditionalFormatting sqref="P128">
    <cfRule type="expression" dxfId="78" priority="7">
      <formula>AI128</formula>
    </cfRule>
  </conditionalFormatting>
  <conditionalFormatting sqref="P128">
    <cfRule type="expression" dxfId="77" priority="6">
      <formula>$AJ128&lt;3</formula>
    </cfRule>
  </conditionalFormatting>
  <conditionalFormatting sqref="B128:B133">
    <cfRule type="expression" dxfId="76" priority="5">
      <formula>$E128=""</formula>
    </cfRule>
  </conditionalFormatting>
  <conditionalFormatting sqref="D128:D133">
    <cfRule type="expression" dxfId="75" priority="4">
      <formula>$E128=""</formula>
    </cfRule>
  </conditionalFormatting>
  <conditionalFormatting sqref="D128:D133">
    <cfRule type="expression" dxfId="74" priority="3">
      <formula>$C128=""</formula>
    </cfRule>
  </conditionalFormatting>
  <conditionalFormatting sqref="C128:C129">
    <cfRule type="expression" dxfId="73" priority="2">
      <formula>$E128=""</formula>
    </cfRule>
  </conditionalFormatting>
  <conditionalFormatting sqref="C130:C133">
    <cfRule type="expression" dxfId="72" priority="1">
      <formula>$E130=""</formula>
    </cfRule>
  </conditionalFormatting>
  <dataValidations count="7">
    <dataValidation type="list" allowBlank="1" showInputMessage="1" showErrorMessage="1" sqref="E39:G39 E61:G61 E83:G83 E149:G149 E127:G127 E105:G105 E171:G171 E237:G237 E193:G193 E215:G215" xr:uid="{00000000-0002-0000-0300-000000000000}">
      <formula1>listWaermestrom</formula1>
    </dataValidation>
    <dataValidation type="list" allowBlank="1" showInputMessage="1" showErrorMessage="1" sqref="E52:G52 E162:G162 E96:G96 E74:G74 E118:G118 E140:G140 E228:G228 E184:G184 E206:G206 E250:G250" xr:uid="{00000000-0002-0000-0300-000001000000}">
      <formula1>#REF!</formula1>
    </dataValidation>
    <dataValidation type="list" allowBlank="1" showInputMessage="1" showErrorMessage="1" sqref="N150:N161 N238:N249 N106:N117 N216:N227 N128:N139 N40:N51 N84:N95 N172:N183 N194:N205 N62:N73" xr:uid="{00000000-0002-0000-0300-000002000000}">
      <formula1>INDIRECT("Tabellen!"&amp;$AE$40)</formula1>
    </dataValidation>
    <dataValidation type="list" allowBlank="1" showInputMessage="1" showErrorMessage="1" sqref="O150:P161 O128:P139 O40:P51 O216:P227 O238:P249 O62:P73 O84:P95 O172:P183 O194:P205 O106:P117" xr:uid="{00000000-0002-0000-0300-000003000000}">
      <formula1>INDIRECT("Tabellen!"&amp;AF40)</formula1>
    </dataValidation>
    <dataValidation type="list" allowBlank="1" showInputMessage="1" showErrorMessage="1" sqref="C41:C51" xr:uid="{00000000-0002-0000-0300-000004000000}">
      <formula1>"a1,b1,a2,b2,keilförmig"</formula1>
    </dataValidation>
    <dataValidation type="list" allowBlank="1" showInputMessage="1" showErrorMessage="1" sqref="C40 C62:C73 C84:C95 C244:C249 C222:C227 C200:C205 C178:C183 C156:C161 C128:C129 C134:C139" xr:uid="{00000000-0002-0000-0300-000005000000}">
      <formula1>"a1,b1,a2,b2"</formula1>
    </dataValidation>
    <dataValidation type="list" allowBlank="1" showInputMessage="1" showErrorMessage="1" sqref="C106:C117 C238:C243 C172:C177 C150:C155 C194:C199 C216:C221 C130:C133" xr:uid="{00000000-0002-0000-0300-000006000000}">
      <formula1>"G1,H1,G2,H2"</formula1>
    </dataValidation>
  </dataValidations>
  <pageMargins left="0.70866141732283472" right="0.70866141732283472" top="0.78740157480314965" bottom="0.78740157480314965" header="0.31496062992125984" footer="0.31496062992125984"/>
  <pageSetup paperSize="9" scale="95" fitToHeight="0" orientation="portrait" r:id="rId1"/>
  <headerFooter>
    <oddFooter>&amp;L&amp;G&amp;C&amp;"Arial,Standard"&amp;9A. Maas und K. Höttges
V4.0, April 2023&amp;R&amp;"Arial,Standard"&amp;9Berechnungsblatt GEG 2023, Blatt '&amp;A'
Seite &amp;P von &amp;N</oddFooter>
  </headerFooter>
  <rowBreaks count="5" manualBreakCount="5">
    <brk id="57" max="9" man="1"/>
    <brk id="101" max="9" man="1"/>
    <brk id="145" max="9" man="1"/>
    <brk id="189" max="9" man="1"/>
    <brk id="233" max="9"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107" r:id="rId5" name="Button 11">
              <controlPr defaultSize="0" print="0" autoFill="0" autoPict="0" macro="[0]!ZeilenEinAusBlendenAlle">
                <anchor moveWithCells="1">
                  <from>
                    <xdr:col>10</xdr:col>
                    <xdr:colOff>7620</xdr:colOff>
                    <xdr:row>0</xdr:row>
                    <xdr:rowOff>0</xdr:rowOff>
                  </from>
                  <to>
                    <xdr:col>11</xdr:col>
                    <xdr:colOff>0</xdr:colOff>
                    <xdr:row>1</xdr:row>
                    <xdr:rowOff>22860</xdr:rowOff>
                  </to>
                </anchor>
              </controlPr>
            </control>
          </mc:Choice>
        </mc:AlternateContent>
        <mc:AlternateContent xmlns:mc="http://schemas.openxmlformats.org/markup-compatibility/2006">
          <mc:Choice Requires="x14">
            <control shapeId="4169" r:id="rId6" name="Button 73">
              <controlPr defaultSize="0" print="0" autoFill="0" autoPict="0" macro="[0]!SpaltenEinAusBlendenEinzeln">
                <anchor moveWithCells="1">
                  <from>
                    <xdr:col>11</xdr:col>
                    <xdr:colOff>22860</xdr:colOff>
                    <xdr:row>1</xdr:row>
                    <xdr:rowOff>30480</xdr:rowOff>
                  </from>
                  <to>
                    <xdr:col>12</xdr:col>
                    <xdr:colOff>0</xdr:colOff>
                    <xdr:row>2</xdr:row>
                    <xdr:rowOff>45720</xdr:rowOff>
                  </to>
                </anchor>
              </controlPr>
            </control>
          </mc:Choice>
        </mc:AlternateContent>
        <mc:AlternateContent xmlns:mc="http://schemas.openxmlformats.org/markup-compatibility/2006">
          <mc:Choice Requires="x14">
            <control shapeId="4264" r:id="rId7" name="Button 168">
              <controlPr defaultSize="0" print="0" autoFill="0" autoPict="0" macro="[0]!ZeilenEinAusBlendenEinzeln">
                <anchor moveWithCells="1">
                  <from>
                    <xdr:col>10</xdr:col>
                    <xdr:colOff>7620</xdr:colOff>
                    <xdr:row>3</xdr:row>
                    <xdr:rowOff>0</xdr:rowOff>
                  </from>
                  <to>
                    <xdr:col>11</xdr:col>
                    <xdr:colOff>0</xdr:colOff>
                    <xdr:row>4</xdr:row>
                    <xdr:rowOff>22860</xdr:rowOff>
                  </to>
                </anchor>
              </controlPr>
            </control>
          </mc:Choice>
        </mc:AlternateContent>
        <mc:AlternateContent xmlns:mc="http://schemas.openxmlformats.org/markup-compatibility/2006">
          <mc:Choice Requires="x14">
            <control shapeId="4300" r:id="rId8" name="Button 204">
              <controlPr defaultSize="0" print="0" autoFill="0" autoPict="0" macro="[0]!SchichtenLeeren">
                <anchor moveWithCells="1" sizeWithCells="1">
                  <from>
                    <xdr:col>11</xdr:col>
                    <xdr:colOff>7620</xdr:colOff>
                    <xdr:row>36</xdr:row>
                    <xdr:rowOff>152400</xdr:rowOff>
                  </from>
                  <to>
                    <xdr:col>13</xdr:col>
                    <xdr:colOff>518160</xdr:colOff>
                    <xdr:row>37</xdr:row>
                    <xdr:rowOff>175260</xdr:rowOff>
                  </to>
                </anchor>
              </controlPr>
            </control>
          </mc:Choice>
        </mc:AlternateContent>
        <mc:AlternateContent xmlns:mc="http://schemas.openxmlformats.org/markup-compatibility/2006">
          <mc:Choice Requires="x14">
            <control shapeId="4301" r:id="rId9" name="Button 205">
              <controlPr defaultSize="0" print="0" autoFill="0" autoPict="0" macro="[0]!SchichtenLeeren">
                <anchor moveWithCells="1" sizeWithCells="1">
                  <from>
                    <xdr:col>11</xdr:col>
                    <xdr:colOff>7620</xdr:colOff>
                    <xdr:row>124</xdr:row>
                    <xdr:rowOff>152400</xdr:rowOff>
                  </from>
                  <to>
                    <xdr:col>13</xdr:col>
                    <xdr:colOff>518160</xdr:colOff>
                    <xdr:row>125</xdr:row>
                    <xdr:rowOff>175260</xdr:rowOff>
                  </to>
                </anchor>
              </controlPr>
            </control>
          </mc:Choice>
        </mc:AlternateContent>
        <mc:AlternateContent xmlns:mc="http://schemas.openxmlformats.org/markup-compatibility/2006">
          <mc:Choice Requires="x14">
            <control shapeId="4305" r:id="rId10" name="Button 209">
              <controlPr defaultSize="0" print="0" autoFill="0" autoPict="0" macro="[0]!SchichtenLeeren">
                <anchor moveWithCells="1" sizeWithCells="1">
                  <from>
                    <xdr:col>11</xdr:col>
                    <xdr:colOff>7620</xdr:colOff>
                    <xdr:row>80</xdr:row>
                    <xdr:rowOff>152400</xdr:rowOff>
                  </from>
                  <to>
                    <xdr:col>13</xdr:col>
                    <xdr:colOff>518160</xdr:colOff>
                    <xdr:row>81</xdr:row>
                    <xdr:rowOff>175260</xdr:rowOff>
                  </to>
                </anchor>
              </controlPr>
            </control>
          </mc:Choice>
        </mc:AlternateContent>
        <mc:AlternateContent xmlns:mc="http://schemas.openxmlformats.org/markup-compatibility/2006">
          <mc:Choice Requires="x14">
            <control shapeId="4306" r:id="rId11" name="Button 210">
              <controlPr defaultSize="0" print="0" autoFill="0" autoPict="0" macro="[0]!SchichtenLeeren">
                <anchor moveWithCells="1" sizeWithCells="1">
                  <from>
                    <xdr:col>11</xdr:col>
                    <xdr:colOff>7620</xdr:colOff>
                    <xdr:row>58</xdr:row>
                    <xdr:rowOff>152400</xdr:rowOff>
                  </from>
                  <to>
                    <xdr:col>13</xdr:col>
                    <xdr:colOff>518160</xdr:colOff>
                    <xdr:row>59</xdr:row>
                    <xdr:rowOff>175260</xdr:rowOff>
                  </to>
                </anchor>
              </controlPr>
            </control>
          </mc:Choice>
        </mc:AlternateContent>
        <mc:AlternateContent xmlns:mc="http://schemas.openxmlformats.org/markup-compatibility/2006">
          <mc:Choice Requires="x14">
            <control shapeId="4310" r:id="rId12" name="Button 214">
              <controlPr defaultSize="0" print="0" autoFill="0" autoPict="0" macro="[0]!SchichtenLeeren">
                <anchor moveWithCells="1" sizeWithCells="1">
                  <from>
                    <xdr:col>11</xdr:col>
                    <xdr:colOff>7620</xdr:colOff>
                    <xdr:row>146</xdr:row>
                    <xdr:rowOff>152400</xdr:rowOff>
                  </from>
                  <to>
                    <xdr:col>13</xdr:col>
                    <xdr:colOff>518160</xdr:colOff>
                    <xdr:row>147</xdr:row>
                    <xdr:rowOff>175260</xdr:rowOff>
                  </to>
                </anchor>
              </controlPr>
            </control>
          </mc:Choice>
        </mc:AlternateContent>
        <mc:AlternateContent xmlns:mc="http://schemas.openxmlformats.org/markup-compatibility/2006">
          <mc:Choice Requires="x14">
            <control shapeId="4312" r:id="rId13" name="Button 216">
              <controlPr defaultSize="0" print="0" autoFill="0" autoPict="0" macro="[0]!SchichtenLeeren">
                <anchor moveWithCells="1" sizeWithCells="1">
                  <from>
                    <xdr:col>11</xdr:col>
                    <xdr:colOff>7620</xdr:colOff>
                    <xdr:row>168</xdr:row>
                    <xdr:rowOff>152400</xdr:rowOff>
                  </from>
                  <to>
                    <xdr:col>13</xdr:col>
                    <xdr:colOff>518160</xdr:colOff>
                    <xdr:row>169</xdr:row>
                    <xdr:rowOff>175260</xdr:rowOff>
                  </to>
                </anchor>
              </controlPr>
            </control>
          </mc:Choice>
        </mc:AlternateContent>
        <mc:AlternateContent xmlns:mc="http://schemas.openxmlformats.org/markup-compatibility/2006">
          <mc:Choice Requires="x14">
            <control shapeId="4314" r:id="rId14" name="Button 218">
              <controlPr defaultSize="0" print="0" autoFill="0" autoPict="0" macro="[0]!SchichtenLeeren">
                <anchor moveWithCells="1" sizeWithCells="1">
                  <from>
                    <xdr:col>11</xdr:col>
                    <xdr:colOff>7620</xdr:colOff>
                    <xdr:row>190</xdr:row>
                    <xdr:rowOff>152400</xdr:rowOff>
                  </from>
                  <to>
                    <xdr:col>13</xdr:col>
                    <xdr:colOff>518160</xdr:colOff>
                    <xdr:row>191</xdr:row>
                    <xdr:rowOff>175260</xdr:rowOff>
                  </to>
                </anchor>
              </controlPr>
            </control>
          </mc:Choice>
        </mc:AlternateContent>
        <mc:AlternateContent xmlns:mc="http://schemas.openxmlformats.org/markup-compatibility/2006">
          <mc:Choice Requires="x14">
            <control shapeId="4316" r:id="rId15" name="Button 220">
              <controlPr defaultSize="0" print="0" autoFill="0" autoPict="0" macro="[0]!SchichtenLeeren">
                <anchor moveWithCells="1" sizeWithCells="1">
                  <from>
                    <xdr:col>11</xdr:col>
                    <xdr:colOff>7620</xdr:colOff>
                    <xdr:row>212</xdr:row>
                    <xdr:rowOff>152400</xdr:rowOff>
                  </from>
                  <to>
                    <xdr:col>13</xdr:col>
                    <xdr:colOff>518160</xdr:colOff>
                    <xdr:row>213</xdr:row>
                    <xdr:rowOff>175260</xdr:rowOff>
                  </to>
                </anchor>
              </controlPr>
            </control>
          </mc:Choice>
        </mc:AlternateContent>
        <mc:AlternateContent xmlns:mc="http://schemas.openxmlformats.org/markup-compatibility/2006">
          <mc:Choice Requires="x14">
            <control shapeId="4318" r:id="rId16" name="Button 222">
              <controlPr defaultSize="0" print="0" autoFill="0" autoPict="0" macro="[0]!SchichtenLeeren">
                <anchor moveWithCells="1" sizeWithCells="1">
                  <from>
                    <xdr:col>11</xdr:col>
                    <xdr:colOff>7620</xdr:colOff>
                    <xdr:row>234</xdr:row>
                    <xdr:rowOff>152400</xdr:rowOff>
                  </from>
                  <to>
                    <xdr:col>13</xdr:col>
                    <xdr:colOff>518160</xdr:colOff>
                    <xdr:row>235</xdr:row>
                    <xdr:rowOff>175260</xdr:rowOff>
                  </to>
                </anchor>
              </controlPr>
            </control>
          </mc:Choice>
        </mc:AlternateContent>
        <mc:AlternateContent xmlns:mc="http://schemas.openxmlformats.org/markup-compatibility/2006">
          <mc:Choice Requires="x14">
            <control shapeId="4320" r:id="rId17" name="stLilaAnAus">
              <controlPr defaultSize="0" print="0" autoFill="0" autoPict="0" macro="[0]!LilaAnAus">
                <anchor>
                  <from>
                    <xdr:col>14</xdr:col>
                    <xdr:colOff>0</xdr:colOff>
                    <xdr:row>0</xdr:row>
                    <xdr:rowOff>0</xdr:rowOff>
                  </from>
                  <to>
                    <xdr:col>15</xdr:col>
                    <xdr:colOff>373380</xdr:colOff>
                    <xdr:row>1</xdr:row>
                    <xdr:rowOff>30480</xdr:rowOff>
                  </to>
                </anchor>
              </controlPr>
            </control>
          </mc:Choice>
        </mc:AlternateContent>
        <mc:AlternateContent xmlns:mc="http://schemas.openxmlformats.org/markup-compatibility/2006">
          <mc:Choice Requires="x14">
            <control shapeId="4332" r:id="rId18" name="Button 236">
              <controlPr defaultSize="0" print="0" autoFill="0" autoPict="0" macro="[0]!ZeilenEinAusBlendenEinzeln">
                <anchor moveWithCells="1">
                  <from>
                    <xdr:col>10</xdr:col>
                    <xdr:colOff>7620</xdr:colOff>
                    <xdr:row>18</xdr:row>
                    <xdr:rowOff>0</xdr:rowOff>
                  </from>
                  <to>
                    <xdr:col>11</xdr:col>
                    <xdr:colOff>0</xdr:colOff>
                    <xdr:row>19</xdr:row>
                    <xdr:rowOff>22860</xdr:rowOff>
                  </to>
                </anchor>
              </controlPr>
            </control>
          </mc:Choice>
        </mc:AlternateContent>
        <mc:AlternateContent xmlns:mc="http://schemas.openxmlformats.org/markup-compatibility/2006">
          <mc:Choice Requires="x14">
            <control shapeId="4333" r:id="rId19" name="Button 237">
              <controlPr defaultSize="0" print="0" autoFill="0" autoPict="0" macro="[0]!ZeilenEinAusBlendenEinzeln">
                <anchor moveWithCells="1">
                  <from>
                    <xdr:col>10</xdr:col>
                    <xdr:colOff>7620</xdr:colOff>
                    <xdr:row>35</xdr:row>
                    <xdr:rowOff>0</xdr:rowOff>
                  </from>
                  <to>
                    <xdr:col>11</xdr:col>
                    <xdr:colOff>0</xdr:colOff>
                    <xdr:row>36</xdr:row>
                    <xdr:rowOff>22860</xdr:rowOff>
                  </to>
                </anchor>
              </controlPr>
            </control>
          </mc:Choice>
        </mc:AlternateContent>
        <mc:AlternateContent xmlns:mc="http://schemas.openxmlformats.org/markup-compatibility/2006">
          <mc:Choice Requires="x14">
            <control shapeId="4334" r:id="rId20" name="Button 238">
              <controlPr defaultSize="0" print="0" autoFill="0" autoPict="0" macro="[0]!ZeilenEinAusBlendenEinzeln">
                <anchor moveWithCells="1">
                  <from>
                    <xdr:col>10</xdr:col>
                    <xdr:colOff>7620</xdr:colOff>
                    <xdr:row>57</xdr:row>
                    <xdr:rowOff>0</xdr:rowOff>
                  </from>
                  <to>
                    <xdr:col>11</xdr:col>
                    <xdr:colOff>0</xdr:colOff>
                    <xdr:row>58</xdr:row>
                    <xdr:rowOff>22860</xdr:rowOff>
                  </to>
                </anchor>
              </controlPr>
            </control>
          </mc:Choice>
        </mc:AlternateContent>
        <mc:AlternateContent xmlns:mc="http://schemas.openxmlformats.org/markup-compatibility/2006">
          <mc:Choice Requires="x14">
            <control shapeId="4335" r:id="rId21" name="Button 239">
              <controlPr defaultSize="0" print="0" autoFill="0" autoPict="0" macro="[0]!ZeilenEinAusBlendenEinzeln">
                <anchor moveWithCells="1">
                  <from>
                    <xdr:col>10</xdr:col>
                    <xdr:colOff>7620</xdr:colOff>
                    <xdr:row>79</xdr:row>
                    <xdr:rowOff>0</xdr:rowOff>
                  </from>
                  <to>
                    <xdr:col>11</xdr:col>
                    <xdr:colOff>0</xdr:colOff>
                    <xdr:row>80</xdr:row>
                    <xdr:rowOff>22860</xdr:rowOff>
                  </to>
                </anchor>
              </controlPr>
            </control>
          </mc:Choice>
        </mc:AlternateContent>
        <mc:AlternateContent xmlns:mc="http://schemas.openxmlformats.org/markup-compatibility/2006">
          <mc:Choice Requires="x14">
            <control shapeId="4336" r:id="rId22" name="Button 240">
              <controlPr defaultSize="0" print="0" autoFill="0" autoPict="0" macro="[0]!ZeilenEinAusBlendenEinzeln">
                <anchor moveWithCells="1">
                  <from>
                    <xdr:col>10</xdr:col>
                    <xdr:colOff>7620</xdr:colOff>
                    <xdr:row>101</xdr:row>
                    <xdr:rowOff>0</xdr:rowOff>
                  </from>
                  <to>
                    <xdr:col>11</xdr:col>
                    <xdr:colOff>0</xdr:colOff>
                    <xdr:row>102</xdr:row>
                    <xdr:rowOff>22860</xdr:rowOff>
                  </to>
                </anchor>
              </controlPr>
            </control>
          </mc:Choice>
        </mc:AlternateContent>
        <mc:AlternateContent xmlns:mc="http://schemas.openxmlformats.org/markup-compatibility/2006">
          <mc:Choice Requires="x14">
            <control shapeId="4337" r:id="rId23" name="Button 241">
              <controlPr defaultSize="0" print="0" autoFill="0" autoPict="0" macro="[0]!ZeilenEinAusBlendenEinzeln">
                <anchor moveWithCells="1">
                  <from>
                    <xdr:col>10</xdr:col>
                    <xdr:colOff>7620</xdr:colOff>
                    <xdr:row>123</xdr:row>
                    <xdr:rowOff>0</xdr:rowOff>
                  </from>
                  <to>
                    <xdr:col>11</xdr:col>
                    <xdr:colOff>0</xdr:colOff>
                    <xdr:row>124</xdr:row>
                    <xdr:rowOff>22860</xdr:rowOff>
                  </to>
                </anchor>
              </controlPr>
            </control>
          </mc:Choice>
        </mc:AlternateContent>
        <mc:AlternateContent xmlns:mc="http://schemas.openxmlformats.org/markup-compatibility/2006">
          <mc:Choice Requires="x14">
            <control shapeId="4338" r:id="rId24" name="Button 242">
              <controlPr defaultSize="0" print="0" autoFill="0" autoPict="0" macro="[0]!ZeilenEinAusBlendenEinzeln">
                <anchor moveWithCells="1">
                  <from>
                    <xdr:col>10</xdr:col>
                    <xdr:colOff>7620</xdr:colOff>
                    <xdr:row>145</xdr:row>
                    <xdr:rowOff>0</xdr:rowOff>
                  </from>
                  <to>
                    <xdr:col>11</xdr:col>
                    <xdr:colOff>0</xdr:colOff>
                    <xdr:row>166</xdr:row>
                    <xdr:rowOff>22860</xdr:rowOff>
                  </to>
                </anchor>
              </controlPr>
            </control>
          </mc:Choice>
        </mc:AlternateContent>
        <mc:AlternateContent xmlns:mc="http://schemas.openxmlformats.org/markup-compatibility/2006">
          <mc:Choice Requires="x14">
            <control shapeId="4339" r:id="rId25" name="Button 243">
              <controlPr defaultSize="0" print="0" autoFill="0" autoPict="0" macro="[0]!ZeilenEinAusBlendenEinzeln">
                <anchor moveWithCells="1">
                  <from>
                    <xdr:col>10</xdr:col>
                    <xdr:colOff>7620</xdr:colOff>
                    <xdr:row>167</xdr:row>
                    <xdr:rowOff>0</xdr:rowOff>
                  </from>
                  <to>
                    <xdr:col>11</xdr:col>
                    <xdr:colOff>0</xdr:colOff>
                    <xdr:row>188</xdr:row>
                    <xdr:rowOff>22860</xdr:rowOff>
                  </to>
                </anchor>
              </controlPr>
            </control>
          </mc:Choice>
        </mc:AlternateContent>
        <mc:AlternateContent xmlns:mc="http://schemas.openxmlformats.org/markup-compatibility/2006">
          <mc:Choice Requires="x14">
            <control shapeId="4340" r:id="rId26" name="Button 244">
              <controlPr defaultSize="0" print="0" autoFill="0" autoPict="0" macro="[0]!ZeilenEinAusBlendenEinzeln">
                <anchor moveWithCells="1">
                  <from>
                    <xdr:col>10</xdr:col>
                    <xdr:colOff>7620</xdr:colOff>
                    <xdr:row>189</xdr:row>
                    <xdr:rowOff>0</xdr:rowOff>
                  </from>
                  <to>
                    <xdr:col>11</xdr:col>
                    <xdr:colOff>0</xdr:colOff>
                    <xdr:row>210</xdr:row>
                    <xdr:rowOff>22860</xdr:rowOff>
                  </to>
                </anchor>
              </controlPr>
            </control>
          </mc:Choice>
        </mc:AlternateContent>
        <mc:AlternateContent xmlns:mc="http://schemas.openxmlformats.org/markup-compatibility/2006">
          <mc:Choice Requires="x14">
            <control shapeId="4341" r:id="rId27" name="Button 245">
              <controlPr defaultSize="0" print="0" autoFill="0" autoPict="0" macro="[0]!ZeilenEinAusBlendenEinzeln">
                <anchor moveWithCells="1">
                  <from>
                    <xdr:col>10</xdr:col>
                    <xdr:colOff>7620</xdr:colOff>
                    <xdr:row>211</xdr:row>
                    <xdr:rowOff>0</xdr:rowOff>
                  </from>
                  <to>
                    <xdr:col>11</xdr:col>
                    <xdr:colOff>0</xdr:colOff>
                    <xdr:row>232</xdr:row>
                    <xdr:rowOff>22860</xdr:rowOff>
                  </to>
                </anchor>
              </controlPr>
            </control>
          </mc:Choice>
        </mc:AlternateContent>
        <mc:AlternateContent xmlns:mc="http://schemas.openxmlformats.org/markup-compatibility/2006">
          <mc:Choice Requires="x14">
            <control shapeId="4342" r:id="rId28" name="Button 246">
              <controlPr defaultSize="0" print="0" autoFill="0" autoPict="0" macro="[0]!ZeilenEinAusBlendenEinzeln">
                <anchor moveWithCells="1">
                  <from>
                    <xdr:col>10</xdr:col>
                    <xdr:colOff>7620</xdr:colOff>
                    <xdr:row>233</xdr:row>
                    <xdr:rowOff>0</xdr:rowOff>
                  </from>
                  <to>
                    <xdr:col>11</xdr:col>
                    <xdr:colOff>0</xdr:colOff>
                    <xdr:row>254</xdr:row>
                    <xdr:rowOff>22860</xdr:rowOff>
                  </to>
                </anchor>
              </controlPr>
            </control>
          </mc:Choice>
        </mc:AlternateContent>
        <mc:AlternateContent xmlns:mc="http://schemas.openxmlformats.org/markup-compatibility/2006">
          <mc:Choice Requires="x14">
            <control shapeId="4345" r:id="rId29" name="Button 249">
              <controlPr defaultSize="0" print="0" autoFill="0" autoPict="0" macro="[0]!ZeilenhoeheAnpassenUmbruch">
                <anchor>
                  <from>
                    <xdr:col>14</xdr:col>
                    <xdr:colOff>0</xdr:colOff>
                    <xdr:row>1</xdr:row>
                    <xdr:rowOff>83820</xdr:rowOff>
                  </from>
                  <to>
                    <xdr:col>15</xdr:col>
                    <xdr:colOff>373380</xdr:colOff>
                    <xdr:row>2</xdr:row>
                    <xdr:rowOff>114300</xdr:rowOff>
                  </to>
                </anchor>
              </controlPr>
            </control>
          </mc:Choice>
        </mc:AlternateContent>
        <mc:AlternateContent xmlns:mc="http://schemas.openxmlformats.org/markup-compatibility/2006">
          <mc:Choice Requires="x14">
            <control shapeId="4355" r:id="rId30" name="Button 259">
              <controlPr defaultSize="0" print="0" autoFill="0" autoPict="0" macro="[0]!SpaltenEinAusBlendenEinzeln">
                <anchor moveWithCells="1">
                  <from>
                    <xdr:col>16</xdr:col>
                    <xdr:colOff>22860</xdr:colOff>
                    <xdr:row>1</xdr:row>
                    <xdr:rowOff>30480</xdr:rowOff>
                  </from>
                  <to>
                    <xdr:col>17</xdr:col>
                    <xdr:colOff>0</xdr:colOff>
                    <xdr:row>2</xdr:row>
                    <xdr:rowOff>45720</xdr:rowOff>
                  </to>
                </anchor>
              </controlPr>
            </control>
          </mc:Choice>
        </mc:AlternateContent>
        <mc:AlternateContent xmlns:mc="http://schemas.openxmlformats.org/markup-compatibility/2006">
          <mc:Choice Requires="x14">
            <control shapeId="4360" r:id="rId31" name="Button 264">
              <controlPr defaultSize="0" print="0" autoFill="0" autoPict="0" macro="[0]!SchichtenLeeren">
                <anchor moveWithCells="1" sizeWithCells="1">
                  <from>
                    <xdr:col>11</xdr:col>
                    <xdr:colOff>7620</xdr:colOff>
                    <xdr:row>102</xdr:row>
                    <xdr:rowOff>152400</xdr:rowOff>
                  </from>
                  <to>
                    <xdr:col>13</xdr:col>
                    <xdr:colOff>518160</xdr:colOff>
                    <xdr:row>103</xdr:row>
                    <xdr:rowOff>175260</xdr:rowOff>
                  </to>
                </anchor>
              </controlPr>
            </control>
          </mc:Choice>
        </mc:AlternateContent>
        <mc:AlternateContent xmlns:mc="http://schemas.openxmlformats.org/markup-compatibility/2006">
          <mc:Choice Requires="x14">
            <control shapeId="4361" r:id="rId32" name="Button 265">
              <controlPr defaultSize="0" print="0" autoFill="0" autoPict="0" macro="[0]!ZeilenEinAusBlendenEinzeln">
                <anchor moveWithCells="1">
                  <from>
                    <xdr:col>10</xdr:col>
                    <xdr:colOff>7620</xdr:colOff>
                    <xdr:row>101</xdr:row>
                    <xdr:rowOff>0</xdr:rowOff>
                  </from>
                  <to>
                    <xdr:col>11</xdr:col>
                    <xdr:colOff>0</xdr:colOff>
                    <xdr:row>102</xdr:row>
                    <xdr:rowOff>22860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pageSetUpPr fitToPage="1"/>
  </sheetPr>
  <dimension ref="A1:U91"/>
  <sheetViews>
    <sheetView showGridLines="0" zoomScaleNormal="100" workbookViewId="0">
      <pane ySplit="3" topLeftCell="A4" activePane="bottomLeft" state="frozen"/>
      <selection pane="bottomLeft"/>
    </sheetView>
  </sheetViews>
  <sheetFormatPr baseColWidth="10" defaultColWidth="11.44140625" defaultRowHeight="11.4"/>
  <cols>
    <col min="1" max="1" width="6.33203125" style="37" customWidth="1"/>
    <col min="2" max="2" width="7.33203125" style="37" customWidth="1"/>
    <col min="3" max="3" width="5" style="37" customWidth="1"/>
    <col min="4" max="4" width="5.5546875" style="37" customWidth="1"/>
    <col min="5" max="5" width="7.33203125" style="37" customWidth="1"/>
    <col min="6" max="6" width="7.88671875" style="37" customWidth="1"/>
    <col min="7" max="7" width="38.33203125" style="147" customWidth="1"/>
    <col min="8" max="8" width="25.44140625" style="37" customWidth="1"/>
    <col min="9" max="9" width="2.6640625" style="37" customWidth="1"/>
    <col min="10" max="11" width="1.6640625" style="37" customWidth="1"/>
    <col min="12" max="12" width="6.33203125" style="37" customWidth="1"/>
    <col min="13" max="13" width="28.33203125" style="37" customWidth="1"/>
    <col min="14" max="14" width="8.88671875" style="516" customWidth="1"/>
    <col min="15" max="15" width="5.6640625" style="516" customWidth="1"/>
    <col min="16" max="16" width="5.44140625" style="516" customWidth="1"/>
    <col min="17" max="17" width="5.5546875" style="516" customWidth="1"/>
    <col min="18" max="18" width="6.5546875" style="516" customWidth="1"/>
    <col min="19" max="19" width="20" style="37" customWidth="1"/>
    <col min="20" max="20" width="7.44140625" style="37" customWidth="1"/>
    <col min="21" max="16384" width="11.44140625" style="37"/>
  </cols>
  <sheetData>
    <row r="1" spans="1:21" s="19" customFormat="1" ht="13.8">
      <c r="A1" s="65" t="s">
        <v>1775</v>
      </c>
      <c r="B1" s="65"/>
      <c r="C1" s="65"/>
      <c r="D1" s="65"/>
      <c r="E1" s="65"/>
      <c r="F1" s="65"/>
      <c r="G1" s="636"/>
      <c r="H1" s="65"/>
      <c r="I1" s="1"/>
      <c r="J1" s="1"/>
      <c r="K1" s="1"/>
      <c r="L1" s="29" t="s">
        <v>299</v>
      </c>
      <c r="N1" s="524"/>
      <c r="O1" s="524"/>
      <c r="P1" s="524"/>
      <c r="Q1" s="524"/>
      <c r="R1" s="524"/>
    </row>
    <row r="2" spans="1:21" s="19" customFormat="1" ht="13.8">
      <c r="G2" s="184"/>
      <c r="H2" s="1128" t="str">
        <f ca="1">Gebaeude!$I$2</f>
        <v>qP,vorh 33,8&lt;=38,5 kWh/(m²a)  |  HT',vorh 0,25&lt;=0,36 W/(m²K)</v>
      </c>
      <c r="I2" s="1"/>
      <c r="J2" s="1"/>
      <c r="K2" s="1"/>
      <c r="L2" s="29"/>
      <c r="N2" s="524"/>
      <c r="O2" s="524"/>
      <c r="P2" s="524"/>
      <c r="Q2" s="525"/>
      <c r="R2" s="524"/>
    </row>
    <row r="3" spans="1:21" ht="13.8">
      <c r="A3" s="2" t="s">
        <v>32</v>
      </c>
      <c r="B3" s="18"/>
      <c r="C3" s="18"/>
      <c r="D3" s="18"/>
      <c r="E3" s="18"/>
      <c r="F3" s="134" t="str">
        <f>Gebaeude!$E$4</f>
        <v>Beispielgebäude Wohnhaus</v>
      </c>
      <c r="P3" s="526"/>
    </row>
    <row r="4" spans="1:21" ht="13.8">
      <c r="A4" s="2"/>
      <c r="B4" s="18"/>
      <c r="C4" s="18"/>
      <c r="D4" s="18"/>
      <c r="E4" s="18"/>
      <c r="F4" s="134"/>
      <c r="P4" s="526"/>
    </row>
    <row r="5" spans="1:21" s="18" customFormat="1" ht="15.6">
      <c r="A5" s="65" t="s">
        <v>1106</v>
      </c>
      <c r="B5" s="66"/>
      <c r="C5" s="66"/>
      <c r="D5" s="66"/>
      <c r="E5" s="66"/>
      <c r="F5" s="66"/>
      <c r="G5" s="69" t="s">
        <v>1781</v>
      </c>
      <c r="H5" s="314">
        <f ca="1">F7</f>
        <v>667.96303499999999</v>
      </c>
      <c r="N5" s="527"/>
      <c r="O5" s="527"/>
      <c r="P5" s="528"/>
      <c r="Q5" s="527"/>
      <c r="R5" s="527"/>
    </row>
    <row r="6" spans="1:21" ht="26.4">
      <c r="A6" s="187" t="s">
        <v>1718</v>
      </c>
      <c r="B6" s="669"/>
      <c r="C6" s="669"/>
      <c r="D6" s="669"/>
      <c r="E6" s="669"/>
      <c r="F6" s="309" t="s">
        <v>1108</v>
      </c>
      <c r="G6" s="670" t="s">
        <v>1107</v>
      </c>
      <c r="H6" s="671" t="s">
        <v>1720</v>
      </c>
      <c r="I6" s="18"/>
      <c r="J6" s="18"/>
      <c r="K6" s="18"/>
      <c r="L6" s="18"/>
      <c r="M6" s="18"/>
      <c r="N6" s="527"/>
      <c r="O6" s="527"/>
    </row>
    <row r="7" spans="1:21" ht="92.4">
      <c r="A7" s="638" t="str">
        <f>Gebaeude!B7</f>
        <v>Volumen (Außenmaß)</v>
      </c>
      <c r="B7" s="18"/>
      <c r="C7" s="18"/>
      <c r="D7" s="18"/>
      <c r="E7" s="527"/>
      <c r="F7" s="645">
        <f ca="1">Text_als_Formel(G7)</f>
        <v>667.96303499999999</v>
      </c>
      <c r="G7" s="672" t="s">
        <v>2539</v>
      </c>
      <c r="H7" s="673" t="s">
        <v>2540</v>
      </c>
      <c r="I7" s="18"/>
      <c r="J7" s="18"/>
      <c r="K7" s="18"/>
      <c r="L7" s="18"/>
      <c r="M7" s="18"/>
      <c r="N7" s="527"/>
      <c r="O7" s="527"/>
    </row>
    <row r="8" spans="1:21">
      <c r="E8" s="516"/>
      <c r="F8" s="516"/>
    </row>
    <row r="9" spans="1:21" s="18" customFormat="1" ht="13.8">
      <c r="A9" s="65" t="s">
        <v>302</v>
      </c>
      <c r="B9" s="66"/>
      <c r="C9" s="66"/>
      <c r="D9" s="66"/>
      <c r="E9" s="66"/>
      <c r="F9" s="66"/>
      <c r="G9" s="69" t="s">
        <v>1782</v>
      </c>
      <c r="H9" s="314">
        <f ca="1">SUM(F12:F87)-F72-F73</f>
        <v>465.83460000000002</v>
      </c>
      <c r="L9" s="65" t="s">
        <v>1784</v>
      </c>
      <c r="M9" s="65"/>
      <c r="N9" s="529">
        <v>8</v>
      </c>
      <c r="O9" s="529">
        <v>9</v>
      </c>
      <c r="P9" s="529">
        <v>6</v>
      </c>
      <c r="Q9" s="529">
        <v>7</v>
      </c>
      <c r="R9" s="529"/>
      <c r="S9" s="37"/>
    </row>
    <row r="10" spans="1:21" ht="49.2">
      <c r="A10" s="674" t="s">
        <v>9</v>
      </c>
      <c r="B10" s="675" t="s">
        <v>1738</v>
      </c>
      <c r="C10" s="675" t="s">
        <v>1103</v>
      </c>
      <c r="D10" s="675" t="s">
        <v>75</v>
      </c>
      <c r="E10" s="675" t="s">
        <v>1737</v>
      </c>
      <c r="F10" s="675" t="s">
        <v>1102</v>
      </c>
      <c r="G10" s="676" t="s">
        <v>1104</v>
      </c>
      <c r="H10" s="671" t="s">
        <v>1720</v>
      </c>
      <c r="I10" s="1"/>
      <c r="J10" s="29"/>
      <c r="K10" s="720"/>
      <c r="L10" s="674" t="s">
        <v>9</v>
      </c>
      <c r="M10" s="675" t="s">
        <v>1101</v>
      </c>
      <c r="N10" s="717" t="s">
        <v>953</v>
      </c>
      <c r="O10" s="717" t="s">
        <v>2490</v>
      </c>
      <c r="P10" s="718" t="s">
        <v>2487</v>
      </c>
      <c r="Q10" s="718" t="s">
        <v>2488</v>
      </c>
      <c r="R10" s="719" t="s">
        <v>1102</v>
      </c>
      <c r="U10" s="18"/>
    </row>
    <row r="11" spans="1:21" s="38" customFormat="1" ht="13.8" thickBot="1">
      <c r="A11" s="25" t="str">
        <f>Gebaeude!B17</f>
        <v>2.1.1 Außenwände</v>
      </c>
      <c r="B11" s="367"/>
      <c r="C11" s="367"/>
      <c r="D11" s="367"/>
      <c r="E11" s="367"/>
      <c r="F11" s="639" t="s">
        <v>1785</v>
      </c>
      <c r="G11" s="366"/>
      <c r="H11" s="367"/>
      <c r="I11" s="1"/>
      <c r="J11" s="122">
        <f>ROW(A12)</f>
        <v>12</v>
      </c>
      <c r="K11" s="122">
        <f>ROW(A24)</f>
        <v>24</v>
      </c>
      <c r="L11" s="373" t="str">
        <f>A11</f>
        <v>2.1.1 Außenwände</v>
      </c>
      <c r="M11" s="367"/>
      <c r="N11" s="530"/>
      <c r="O11" s="530"/>
      <c r="P11" s="530"/>
      <c r="Q11" s="530"/>
      <c r="R11" s="531" t="s">
        <v>1785</v>
      </c>
    </row>
    <row r="12" spans="1:21" ht="27" thickBot="1">
      <c r="A12" s="638" t="str">
        <f>Gebaeude!B18</f>
        <v>AW 1</v>
      </c>
      <c r="B12" s="644" t="s">
        <v>12</v>
      </c>
      <c r="C12" s="638" t="s">
        <v>18</v>
      </c>
      <c r="D12" s="638"/>
      <c r="E12" s="645">
        <f ca="1">Text_als_Formel(G12)</f>
        <v>45.097800000000007</v>
      </c>
      <c r="F12" s="645">
        <f t="shared" ref="F12:F23" ca="1" si="0">E12-SUMIF($D$26:$D$35,$A12,$F$26:$F$35)</f>
        <v>35.787800000000004</v>
      </c>
      <c r="G12" s="646" t="s">
        <v>2541</v>
      </c>
      <c r="H12" s="647" t="s">
        <v>2542</v>
      </c>
      <c r="I12" s="648"/>
      <c r="J12" s="648"/>
      <c r="K12" s="648"/>
      <c r="L12" s="649" t="str">
        <f>A12</f>
        <v>AW 1</v>
      </c>
      <c r="M12" s="650" t="s">
        <v>2516</v>
      </c>
      <c r="N12" s="645">
        <f ca="1">IF($M12&gt;0,VLOOKUP($M12,Bauteile!$B:$J,N$9,FALSE),0)</f>
        <v>0.21081468036774198</v>
      </c>
      <c r="O12" s="645">
        <f>IF($M12&gt;0,VLOOKUP($M12,Bauteile!$B:$J,O$9,FALSE),0)</f>
        <v>0.5</v>
      </c>
      <c r="P12" s="645">
        <f>IF($M12&gt;0,VLOOKUP($M12,Bauteile!$B:$J,P$9,FALSE),0)</f>
        <v>0</v>
      </c>
      <c r="Q12" s="645">
        <f>IF($M12&gt;0,VLOOKUP($M12,Bauteile!$B:$J,Q$9,FALSE),0)</f>
        <v>0</v>
      </c>
      <c r="R12" s="645">
        <f ca="1">F12</f>
        <v>35.787800000000004</v>
      </c>
    </row>
    <row r="13" spans="1:21" ht="40.200000000000003" thickBot="1">
      <c r="A13" s="638" t="str">
        <f>Gebaeude!B19</f>
        <v>AW 2</v>
      </c>
      <c r="B13" s="651" t="s">
        <v>981</v>
      </c>
      <c r="C13" s="638" t="s">
        <v>18</v>
      </c>
      <c r="D13" s="638"/>
      <c r="E13" s="645">
        <f t="shared" ref="E13:E22" ca="1" si="1">Text_als_Formel(G13)</f>
        <v>44.936199999999999</v>
      </c>
      <c r="F13" s="645">
        <f t="shared" ca="1" si="0"/>
        <v>36.936199999999999</v>
      </c>
      <c r="G13" s="652" t="s">
        <v>2543</v>
      </c>
      <c r="H13" s="653" t="s">
        <v>2544</v>
      </c>
      <c r="I13" s="654"/>
      <c r="J13" s="648"/>
      <c r="K13" s="648"/>
      <c r="L13" s="649" t="str">
        <f t="shared" ref="L13:L85" si="2">A13</f>
        <v>AW 2</v>
      </c>
      <c r="M13" s="650" t="s">
        <v>2516</v>
      </c>
      <c r="N13" s="645">
        <f ca="1">IF($M13&gt;0,VLOOKUP($M13,Bauteile!$B:$J,N$9,FALSE),0)</f>
        <v>0.21081468036774198</v>
      </c>
      <c r="O13" s="645">
        <f>IF($M13&gt;0,VLOOKUP($M13,Bauteile!$B:$J,O$9,FALSE),0)</f>
        <v>0.5</v>
      </c>
      <c r="P13" s="645">
        <f>IF($M13&gt;0,VLOOKUP($M13,Bauteile!$B:$J,P$9,FALSE),0)</f>
        <v>0</v>
      </c>
      <c r="Q13" s="645">
        <f>IF($M13&gt;0,VLOOKUP($M13,Bauteile!$B:$J,Q$9,FALSE),0)</f>
        <v>0</v>
      </c>
      <c r="R13" s="645">
        <f t="shared" ref="R13:R83" ca="1" si="3">F13</f>
        <v>36.936199999999999</v>
      </c>
    </row>
    <row r="14" spans="1:21" ht="27" thickBot="1">
      <c r="A14" s="638" t="str">
        <f>Gebaeude!B20</f>
        <v>AW 3</v>
      </c>
      <c r="B14" s="651" t="s">
        <v>11</v>
      </c>
      <c r="C14" s="638" t="s">
        <v>18</v>
      </c>
      <c r="D14" s="638"/>
      <c r="E14" s="645">
        <f t="shared" ca="1" si="1"/>
        <v>45.097800000000007</v>
      </c>
      <c r="F14" s="645">
        <f t="shared" ca="1" si="0"/>
        <v>33.43780000000001</v>
      </c>
      <c r="G14" s="646" t="s">
        <v>2545</v>
      </c>
      <c r="H14" s="653" t="s">
        <v>2542</v>
      </c>
      <c r="I14" s="654"/>
      <c r="J14" s="648"/>
      <c r="K14" s="648"/>
      <c r="L14" s="649" t="str">
        <f t="shared" si="2"/>
        <v>AW 3</v>
      </c>
      <c r="M14" s="650" t="s">
        <v>2516</v>
      </c>
      <c r="N14" s="645">
        <f ca="1">IF($M14&gt;0,VLOOKUP($M14,Bauteile!$B:$J,N$9,FALSE),0)</f>
        <v>0.21081468036774198</v>
      </c>
      <c r="O14" s="645">
        <f>IF($M14&gt;0,VLOOKUP($M14,Bauteile!$B:$J,O$9,FALSE),0)</f>
        <v>0.5</v>
      </c>
      <c r="P14" s="645">
        <f>IF($M14&gt;0,VLOOKUP($M14,Bauteile!$B:$J,P$9,FALSE),0)</f>
        <v>0</v>
      </c>
      <c r="Q14" s="645">
        <f>IF($M14&gt;0,VLOOKUP($M14,Bauteile!$B:$J,Q$9,FALSE),0)</f>
        <v>0</v>
      </c>
      <c r="R14" s="645">
        <f t="shared" ca="1" si="3"/>
        <v>33.43780000000001</v>
      </c>
    </row>
    <row r="15" spans="1:21" ht="40.200000000000003" thickBot="1">
      <c r="A15" s="638" t="str">
        <f>Gebaeude!B21</f>
        <v>AW 4</v>
      </c>
      <c r="B15" s="651" t="s">
        <v>980</v>
      </c>
      <c r="C15" s="638" t="s">
        <v>18</v>
      </c>
      <c r="D15" s="638"/>
      <c r="E15" s="645">
        <f t="shared" ca="1" si="1"/>
        <v>44.936199999999999</v>
      </c>
      <c r="F15" s="645">
        <f t="shared" ca="1" si="0"/>
        <v>37.1462</v>
      </c>
      <c r="G15" s="652" t="s">
        <v>2543</v>
      </c>
      <c r="H15" s="653" t="s">
        <v>2544</v>
      </c>
      <c r="I15" s="654"/>
      <c r="J15" s="648"/>
      <c r="K15" s="648"/>
      <c r="L15" s="649" t="str">
        <f t="shared" si="2"/>
        <v>AW 4</v>
      </c>
      <c r="M15" s="650" t="s">
        <v>2516</v>
      </c>
      <c r="N15" s="645">
        <f ca="1">IF($M15&gt;0,VLOOKUP($M15,Bauteile!$B:$J,N$9,FALSE),0)</f>
        <v>0.21081468036774198</v>
      </c>
      <c r="O15" s="645">
        <f>IF($M15&gt;0,VLOOKUP($M15,Bauteile!$B:$J,O$9,FALSE),0)</f>
        <v>0.5</v>
      </c>
      <c r="P15" s="645">
        <f>IF($M15&gt;0,VLOOKUP($M15,Bauteile!$B:$J,P$9,FALSE),0)</f>
        <v>0</v>
      </c>
      <c r="Q15" s="645">
        <f>IF($M15&gt;0,VLOOKUP($M15,Bauteile!$B:$J,Q$9,FALSE),0)</f>
        <v>0</v>
      </c>
      <c r="R15" s="645">
        <f t="shared" ca="1" si="3"/>
        <v>37.1462</v>
      </c>
    </row>
    <row r="16" spans="1:21" ht="13.8" thickBot="1">
      <c r="A16" s="638" t="str">
        <f>Gebaeude!B22</f>
        <v>AW 5</v>
      </c>
      <c r="B16" s="651"/>
      <c r="C16" s="638" t="s">
        <v>18</v>
      </c>
      <c r="D16" s="638"/>
      <c r="E16" s="645">
        <f t="shared" ca="1" si="1"/>
        <v>0</v>
      </c>
      <c r="F16" s="645">
        <f t="shared" ca="1" si="0"/>
        <v>0</v>
      </c>
      <c r="G16" s="652"/>
      <c r="H16" s="653"/>
      <c r="I16" s="654"/>
      <c r="J16" s="648"/>
      <c r="K16" s="648"/>
      <c r="L16" s="649" t="str">
        <f t="shared" si="2"/>
        <v>AW 5</v>
      </c>
      <c r="M16" s="650"/>
      <c r="N16" s="645">
        <f>IF($M16&gt;0,VLOOKUP($M16,Bauteile!$B:$J,N$9,FALSE),0)</f>
        <v>0</v>
      </c>
      <c r="O16" s="645">
        <f>IF($M16&gt;0,VLOOKUP($M16,Bauteile!$B:$J,O$9,FALSE),0)</f>
        <v>0</v>
      </c>
      <c r="P16" s="645">
        <f>IF($M16&gt;0,VLOOKUP($M16,Bauteile!$B:$J,P$9,FALSE),0)</f>
        <v>0</v>
      </c>
      <c r="Q16" s="645">
        <f>IF($M16&gt;0,VLOOKUP($M16,Bauteile!$B:$J,Q$9,FALSE),0)</f>
        <v>0</v>
      </c>
      <c r="R16" s="645">
        <f t="shared" ca="1" si="3"/>
        <v>0</v>
      </c>
    </row>
    <row r="17" spans="1:18" ht="13.8" thickBot="1">
      <c r="A17" s="638" t="str">
        <f>Gebaeude!B23</f>
        <v>AW 6</v>
      </c>
      <c r="B17" s="651"/>
      <c r="C17" s="638" t="s">
        <v>18</v>
      </c>
      <c r="D17" s="638"/>
      <c r="E17" s="645">
        <f t="shared" ca="1" si="1"/>
        <v>0</v>
      </c>
      <c r="F17" s="645">
        <f t="shared" ca="1" si="0"/>
        <v>0</v>
      </c>
      <c r="G17" s="652"/>
      <c r="H17" s="653"/>
      <c r="I17" s="654"/>
      <c r="J17" s="648"/>
      <c r="K17" s="648"/>
      <c r="L17" s="649" t="str">
        <f t="shared" si="2"/>
        <v>AW 6</v>
      </c>
      <c r="M17" s="650"/>
      <c r="N17" s="645">
        <f>IF($M17&gt;0,VLOOKUP($M17,Bauteile!$B:$J,N$9,FALSE),0)</f>
        <v>0</v>
      </c>
      <c r="O17" s="645">
        <f>IF($M17&gt;0,VLOOKUP($M17,Bauteile!$B:$J,O$9,FALSE),0)</f>
        <v>0</v>
      </c>
      <c r="P17" s="645">
        <f>IF($M17&gt;0,VLOOKUP($M17,Bauteile!$B:$J,P$9,FALSE),0)</f>
        <v>0</v>
      </c>
      <c r="Q17" s="645">
        <f>IF($M17&gt;0,VLOOKUP($M17,Bauteile!$B:$J,Q$9,FALSE),0)</f>
        <v>0</v>
      </c>
      <c r="R17" s="645">
        <f t="shared" ca="1" si="3"/>
        <v>0</v>
      </c>
    </row>
    <row r="18" spans="1:18" ht="13.8" thickBot="1">
      <c r="A18" s="638" t="str">
        <f>Gebaeude!B24</f>
        <v>AW 7</v>
      </c>
      <c r="B18" s="651"/>
      <c r="C18" s="638" t="s">
        <v>18</v>
      </c>
      <c r="D18" s="638"/>
      <c r="E18" s="645">
        <f t="shared" ca="1" si="1"/>
        <v>0</v>
      </c>
      <c r="F18" s="645">
        <f t="shared" ca="1" si="0"/>
        <v>0</v>
      </c>
      <c r="G18" s="652"/>
      <c r="H18" s="653"/>
      <c r="I18" s="654"/>
      <c r="J18" s="648"/>
      <c r="K18" s="648"/>
      <c r="L18" s="649" t="str">
        <f t="shared" si="2"/>
        <v>AW 7</v>
      </c>
      <c r="M18" s="650"/>
      <c r="N18" s="645">
        <f>IF($M18&gt;0,VLOOKUP($M18,Bauteile!$B:$J,N$9,FALSE),0)</f>
        <v>0</v>
      </c>
      <c r="O18" s="645">
        <f>IF($M18&gt;0,VLOOKUP($M18,Bauteile!$B:$J,O$9,FALSE),0)</f>
        <v>0</v>
      </c>
      <c r="P18" s="645">
        <f>IF($M18&gt;0,VLOOKUP($M18,Bauteile!$B:$J,P$9,FALSE),0)</f>
        <v>0</v>
      </c>
      <c r="Q18" s="645">
        <f>IF($M18&gt;0,VLOOKUP($M18,Bauteile!$B:$J,Q$9,FALSE),0)</f>
        <v>0</v>
      </c>
      <c r="R18" s="645">
        <f t="shared" ca="1" si="3"/>
        <v>0</v>
      </c>
    </row>
    <row r="19" spans="1:18" ht="13.8" thickBot="1">
      <c r="A19" s="638" t="str">
        <f>Gebaeude!B25</f>
        <v>AW 8</v>
      </c>
      <c r="B19" s="651"/>
      <c r="C19" s="638" t="s">
        <v>18</v>
      </c>
      <c r="D19" s="638"/>
      <c r="E19" s="645">
        <f t="shared" ca="1" si="1"/>
        <v>0</v>
      </c>
      <c r="F19" s="645">
        <f t="shared" ca="1" si="0"/>
        <v>0</v>
      </c>
      <c r="G19" s="652"/>
      <c r="H19" s="653"/>
      <c r="I19" s="654"/>
      <c r="J19" s="648"/>
      <c r="K19" s="648"/>
      <c r="L19" s="649" t="str">
        <f t="shared" si="2"/>
        <v>AW 8</v>
      </c>
      <c r="M19" s="650"/>
      <c r="N19" s="645">
        <f>IF($M19&gt;0,VLOOKUP($M19,Bauteile!$B:$J,N$9,FALSE),0)</f>
        <v>0</v>
      </c>
      <c r="O19" s="645">
        <f>IF($M19&gt;0,VLOOKUP($M19,Bauteile!$B:$J,O$9,FALSE),0)</f>
        <v>0</v>
      </c>
      <c r="P19" s="645">
        <f>IF($M19&gt;0,VLOOKUP($M19,Bauteile!$B:$J,P$9,FALSE),0)</f>
        <v>0</v>
      </c>
      <c r="Q19" s="645">
        <f>IF($M19&gt;0,VLOOKUP($M19,Bauteile!$B:$J,Q$9,FALSE),0)</f>
        <v>0</v>
      </c>
      <c r="R19" s="645">
        <f t="shared" ca="1" si="3"/>
        <v>0</v>
      </c>
    </row>
    <row r="20" spans="1:18" ht="13.8" thickBot="1">
      <c r="A20" s="638" t="str">
        <f>Gebaeude!B26</f>
        <v>AW 9</v>
      </c>
      <c r="B20" s="651"/>
      <c r="C20" s="638" t="s">
        <v>18</v>
      </c>
      <c r="D20" s="638"/>
      <c r="E20" s="645">
        <f t="shared" ca="1" si="1"/>
        <v>0</v>
      </c>
      <c r="F20" s="645">
        <f t="shared" ca="1" si="0"/>
        <v>0</v>
      </c>
      <c r="G20" s="733"/>
      <c r="H20" s="653"/>
      <c r="I20" s="654"/>
      <c r="J20" s="648"/>
      <c r="K20" s="648"/>
      <c r="L20" s="649" t="str">
        <f t="shared" si="2"/>
        <v>AW 9</v>
      </c>
      <c r="M20" s="650"/>
      <c r="N20" s="645">
        <f>IF($M20&gt;0,VLOOKUP($M20,Bauteile!$B:$J,N$9,FALSE),0)</f>
        <v>0</v>
      </c>
      <c r="O20" s="645">
        <f>IF($M20&gt;0,VLOOKUP($M20,Bauteile!$B:$J,O$9,FALSE),0)</f>
        <v>0</v>
      </c>
      <c r="P20" s="645">
        <f>IF($M20&gt;0,VLOOKUP($M20,Bauteile!$B:$J,P$9,FALSE),0)</f>
        <v>0</v>
      </c>
      <c r="Q20" s="645">
        <f>IF($M20&gt;0,VLOOKUP($M20,Bauteile!$B:$J,Q$9,FALSE),0)</f>
        <v>0</v>
      </c>
      <c r="R20" s="645">
        <f t="shared" ca="1" si="3"/>
        <v>0</v>
      </c>
    </row>
    <row r="21" spans="1:18" ht="13.8" thickBot="1">
      <c r="A21" s="638" t="str">
        <f>Gebaeude!B27</f>
        <v>AW 10</v>
      </c>
      <c r="B21" s="651"/>
      <c r="C21" s="638" t="s">
        <v>18</v>
      </c>
      <c r="D21" s="638"/>
      <c r="E21" s="645">
        <f t="shared" ca="1" si="1"/>
        <v>0</v>
      </c>
      <c r="F21" s="645">
        <f t="shared" ca="1" si="0"/>
        <v>0</v>
      </c>
      <c r="G21" s="652"/>
      <c r="H21" s="653"/>
      <c r="I21" s="654"/>
      <c r="J21" s="648"/>
      <c r="K21" s="648"/>
      <c r="L21" s="649" t="str">
        <f t="shared" si="2"/>
        <v>AW 10</v>
      </c>
      <c r="M21" s="650"/>
      <c r="N21" s="645">
        <f>IF($M21&gt;0,VLOOKUP($M21,Bauteile!$B:$J,N$9,FALSE),0)</f>
        <v>0</v>
      </c>
      <c r="O21" s="645">
        <f>IF($M21&gt;0,VLOOKUP($M21,Bauteile!$B:$J,O$9,FALSE),0)</f>
        <v>0</v>
      </c>
      <c r="P21" s="645">
        <f>IF($M21&gt;0,VLOOKUP($M21,Bauteile!$B:$J,P$9,FALSE),0)</f>
        <v>0</v>
      </c>
      <c r="Q21" s="645">
        <f>IF($M21&gt;0,VLOOKUP($M21,Bauteile!$B:$J,Q$9,FALSE),0)</f>
        <v>0</v>
      </c>
      <c r="R21" s="645">
        <f t="shared" ca="1" si="3"/>
        <v>0</v>
      </c>
    </row>
    <row r="22" spans="1:18" ht="13.8" thickBot="1">
      <c r="A22" s="638" t="str">
        <f>Gebaeude!B28</f>
        <v>AW 11</v>
      </c>
      <c r="B22" s="651"/>
      <c r="C22" s="638" t="s">
        <v>18</v>
      </c>
      <c r="D22" s="638"/>
      <c r="E22" s="645">
        <f t="shared" ca="1" si="1"/>
        <v>0</v>
      </c>
      <c r="F22" s="645">
        <f t="shared" ca="1" si="0"/>
        <v>0</v>
      </c>
      <c r="G22" s="652"/>
      <c r="H22" s="653"/>
      <c r="I22" s="654"/>
      <c r="J22" s="648"/>
      <c r="K22" s="648"/>
      <c r="L22" s="649" t="str">
        <f t="shared" si="2"/>
        <v>AW 11</v>
      </c>
      <c r="M22" s="650"/>
      <c r="N22" s="645">
        <f>IF($M22&gt;0,VLOOKUP($M22,Bauteile!$B:$J,N$9,FALSE),0)</f>
        <v>0</v>
      </c>
      <c r="O22" s="645">
        <f>IF($M22&gt;0,VLOOKUP($M22,Bauteile!$B:$J,O$9,FALSE),0)</f>
        <v>0</v>
      </c>
      <c r="P22" s="645">
        <f>IF($M22&gt;0,VLOOKUP($M22,Bauteile!$B:$J,P$9,FALSE),0)</f>
        <v>0</v>
      </c>
      <c r="Q22" s="645">
        <f>IF($M22&gt;0,VLOOKUP($M22,Bauteile!$B:$J,Q$9,FALSE),0)</f>
        <v>0</v>
      </c>
      <c r="R22" s="645">
        <f t="shared" ca="1" si="3"/>
        <v>0</v>
      </c>
    </row>
    <row r="23" spans="1:18" ht="13.8" thickBot="1">
      <c r="A23" s="638" t="str">
        <f>Gebaeude!B29</f>
        <v>AW 12</v>
      </c>
      <c r="B23" s="651"/>
      <c r="C23" s="638" t="s">
        <v>18</v>
      </c>
      <c r="D23" s="638"/>
      <c r="E23" s="645">
        <f ca="1">Text_als_Formel(G23)</f>
        <v>0</v>
      </c>
      <c r="F23" s="645">
        <f t="shared" ca="1" si="0"/>
        <v>0</v>
      </c>
      <c r="G23" s="652"/>
      <c r="H23" s="656"/>
      <c r="I23" s="657"/>
      <c r="J23" s="721"/>
      <c r="K23" s="721"/>
      <c r="L23" s="649" t="str">
        <f t="shared" si="2"/>
        <v>AW 12</v>
      </c>
      <c r="M23" s="650"/>
      <c r="N23" s="645">
        <f>IF($M23&gt;0,VLOOKUP($M23,Bauteile!$B:$J,N$9,FALSE),0)</f>
        <v>0</v>
      </c>
      <c r="O23" s="645">
        <f>IF($M23&gt;0,VLOOKUP($M23,Bauteile!$B:$J,O$9,FALSE),0)</f>
        <v>0</v>
      </c>
      <c r="P23" s="645">
        <f>IF($M23&gt;0,VLOOKUP($M23,Bauteile!$B:$J,P$9,FALSE),0)</f>
        <v>0</v>
      </c>
      <c r="Q23" s="645">
        <f>IF($M23&gt;0,VLOOKUP($M23,Bauteile!$B:$J,Q$9,FALSE),0)</f>
        <v>0</v>
      </c>
      <c r="R23" s="645">
        <f t="shared" ca="1" si="3"/>
        <v>0</v>
      </c>
    </row>
    <row r="24" spans="1:18" ht="13.8" thickBot="1">
      <c r="A24" s="638"/>
      <c r="B24" s="640"/>
      <c r="C24" s="182"/>
      <c r="D24" s="182"/>
      <c r="E24" s="641"/>
      <c r="F24" s="641"/>
      <c r="G24" s="642"/>
      <c r="H24" s="643"/>
      <c r="I24" s="483"/>
      <c r="J24" s="483"/>
      <c r="K24" s="483"/>
      <c r="L24" s="373"/>
      <c r="M24" s="640"/>
      <c r="N24" s="641"/>
      <c r="O24" s="641"/>
      <c r="P24" s="641"/>
      <c r="Q24" s="641"/>
      <c r="R24" s="641"/>
    </row>
    <row r="25" spans="1:18" s="38" customFormat="1" ht="13.8" thickBot="1">
      <c r="A25" s="637" t="str">
        <f>Gebaeude!B31</f>
        <v>2.1.2 Fenster, Fenstertüren</v>
      </c>
      <c r="B25" s="637"/>
      <c r="C25" s="637"/>
      <c r="D25" s="637"/>
      <c r="E25" s="658"/>
      <c r="F25" s="637"/>
      <c r="G25" s="659"/>
      <c r="H25" s="637"/>
      <c r="I25" s="1"/>
      <c r="J25" s="122">
        <f>ROW(A26)</f>
        <v>26</v>
      </c>
      <c r="K25" s="122">
        <f>ROW(A32)</f>
        <v>32</v>
      </c>
      <c r="L25" s="649" t="str">
        <f t="shared" si="2"/>
        <v>2.1.2 Fenster, Fenstertüren</v>
      </c>
      <c r="M25" s="637"/>
      <c r="N25" s="645"/>
      <c r="O25" s="645"/>
      <c r="P25" s="645"/>
      <c r="Q25" s="645"/>
      <c r="R25" s="645"/>
    </row>
    <row r="26" spans="1:18" ht="27" thickBot="1">
      <c r="A26" s="638" t="str">
        <f>Gebaeude!B32</f>
        <v>W 1</v>
      </c>
      <c r="B26" s="638" t="str">
        <f t="shared" ref="B26:B31" si="4">IF($D26&gt;0,VLOOKUP($D26,$A$12:$C$23,2,FALSE),"")</f>
        <v>Nord</v>
      </c>
      <c r="C26" s="638" t="str">
        <f t="shared" ref="C26:C31" si="5">IF($D26&gt;0,VLOOKUP($D26,$A$12:$C$23,3,FALSE),"")</f>
        <v>90°</v>
      </c>
      <c r="D26" s="644" t="s">
        <v>4</v>
      </c>
      <c r="E26" s="18"/>
      <c r="F26" s="645">
        <f t="shared" ref="F26:F31" ca="1" si="6">Text_als_Formel(G26)</f>
        <v>5.5</v>
      </c>
      <c r="G26" s="646" t="s">
        <v>2546</v>
      </c>
      <c r="H26" s="647" t="s">
        <v>2547</v>
      </c>
      <c r="I26" s="648"/>
      <c r="J26" s="648"/>
      <c r="K26" s="648"/>
      <c r="L26" s="649" t="str">
        <f t="shared" si="2"/>
        <v>W 1</v>
      </c>
      <c r="M26" s="650" t="s">
        <v>1735</v>
      </c>
      <c r="N26" s="645">
        <f>IF($M26&gt;0,VLOOKUP($M26,Bauteile!$B:$J,N$9,FALSE),0)</f>
        <v>0.9</v>
      </c>
      <c r="O26" s="645">
        <f>IF($M26&gt;0,VLOOKUP($M26,Bauteile!$B:$J,O$9,FALSE),0)</f>
        <v>0.53</v>
      </c>
      <c r="P26" s="645">
        <f>IF($M26&gt;0,VLOOKUP($M26,Bauteile!$B:$J,P$9,FALSE),0)</f>
        <v>0.9</v>
      </c>
      <c r="Q26" s="645">
        <f>IF($M26&gt;0,VLOOKUP($M26,Bauteile!$B:$J,Q$9,FALSE),0)</f>
        <v>0.7</v>
      </c>
      <c r="R26" s="645">
        <f t="shared" ca="1" si="3"/>
        <v>5.5</v>
      </c>
    </row>
    <row r="27" spans="1:18" ht="27" thickBot="1">
      <c r="A27" s="638" t="str">
        <f>Gebaeude!B33</f>
        <v>W 2</v>
      </c>
      <c r="B27" s="638" t="str">
        <f t="shared" si="4"/>
        <v>West</v>
      </c>
      <c r="C27" s="638" t="str">
        <f t="shared" si="5"/>
        <v>90°</v>
      </c>
      <c r="D27" s="651" t="s">
        <v>20</v>
      </c>
      <c r="E27" s="18"/>
      <c r="F27" s="645">
        <f t="shared" ca="1" si="6"/>
        <v>8</v>
      </c>
      <c r="G27" s="652" t="s">
        <v>1109</v>
      </c>
      <c r="H27" s="653" t="s">
        <v>2547</v>
      </c>
      <c r="I27" s="654"/>
      <c r="J27" s="648"/>
      <c r="K27" s="648"/>
      <c r="L27" s="649" t="str">
        <f t="shared" si="2"/>
        <v>W 2</v>
      </c>
      <c r="M27" s="650" t="s">
        <v>1735</v>
      </c>
      <c r="N27" s="645">
        <f>IF($M27&gt;0,VLOOKUP($M27,Bauteile!$B:$J,N$9,FALSE),0)</f>
        <v>0.9</v>
      </c>
      <c r="O27" s="645">
        <f>IF($M27&gt;0,VLOOKUP($M27,Bauteile!$B:$J,O$9,FALSE),0)</f>
        <v>0.53</v>
      </c>
      <c r="P27" s="645">
        <f>IF($M27&gt;0,VLOOKUP($M27,Bauteile!$B:$J,P$9,FALSE),0)</f>
        <v>0.9</v>
      </c>
      <c r="Q27" s="645">
        <f>IF($M27&gt;0,VLOOKUP($M27,Bauteile!$B:$J,Q$9,FALSE),0)</f>
        <v>0.7</v>
      </c>
      <c r="R27" s="645">
        <f t="shared" ca="1" si="3"/>
        <v>8</v>
      </c>
    </row>
    <row r="28" spans="1:18" ht="27" thickBot="1">
      <c r="A28" s="638" t="str">
        <f>Gebaeude!B34</f>
        <v>W 3</v>
      </c>
      <c r="B28" s="638" t="str">
        <f t="shared" si="4"/>
        <v>Süd</v>
      </c>
      <c r="C28" s="638" t="str">
        <f t="shared" si="5"/>
        <v>90°</v>
      </c>
      <c r="D28" s="651" t="s">
        <v>21</v>
      </c>
      <c r="E28" s="18"/>
      <c r="F28" s="645">
        <f t="shared" ca="1" si="6"/>
        <v>11.66</v>
      </c>
      <c r="G28" s="652" t="s">
        <v>2548</v>
      </c>
      <c r="H28" s="653" t="s">
        <v>2547</v>
      </c>
      <c r="I28" s="654"/>
      <c r="J28" s="648"/>
      <c r="K28" s="648"/>
      <c r="L28" s="649" t="str">
        <f t="shared" si="2"/>
        <v>W 3</v>
      </c>
      <c r="M28" s="650" t="s">
        <v>1735</v>
      </c>
      <c r="N28" s="645">
        <f>IF($M28&gt;0,VLOOKUP($M28,Bauteile!$B:$J,N$9,FALSE),0)</f>
        <v>0.9</v>
      </c>
      <c r="O28" s="645">
        <f>IF($M28&gt;0,VLOOKUP($M28,Bauteile!$B:$J,O$9,FALSE),0)</f>
        <v>0.53</v>
      </c>
      <c r="P28" s="645">
        <f>IF($M28&gt;0,VLOOKUP($M28,Bauteile!$B:$J,P$9,FALSE),0)</f>
        <v>0.9</v>
      </c>
      <c r="Q28" s="645">
        <f>IF($M28&gt;0,VLOOKUP($M28,Bauteile!$B:$J,Q$9,FALSE),0)</f>
        <v>0.7</v>
      </c>
      <c r="R28" s="645">
        <f t="shared" ca="1" si="3"/>
        <v>11.66</v>
      </c>
    </row>
    <row r="29" spans="1:18" ht="27" thickBot="1">
      <c r="A29" s="638" t="str">
        <f>Gebaeude!B35</f>
        <v>W 4</v>
      </c>
      <c r="B29" s="638" t="str">
        <f t="shared" si="4"/>
        <v>Ost</v>
      </c>
      <c r="C29" s="638" t="str">
        <f t="shared" si="5"/>
        <v>90°</v>
      </c>
      <c r="D29" s="651" t="s">
        <v>22</v>
      </c>
      <c r="E29" s="18"/>
      <c r="F29" s="645">
        <f t="shared" ca="1" si="6"/>
        <v>7.79</v>
      </c>
      <c r="G29" s="652" t="s">
        <v>2549</v>
      </c>
      <c r="H29" s="653" t="s">
        <v>2547</v>
      </c>
      <c r="I29" s="654"/>
      <c r="J29" s="648"/>
      <c r="K29" s="648"/>
      <c r="L29" s="649" t="str">
        <f t="shared" si="2"/>
        <v>W 4</v>
      </c>
      <c r="M29" s="650" t="s">
        <v>1735</v>
      </c>
      <c r="N29" s="645">
        <f>IF($M29&gt;0,VLOOKUP($M29,Bauteile!$B:$J,N$9,FALSE),0)</f>
        <v>0.9</v>
      </c>
      <c r="O29" s="645">
        <f>IF($M29&gt;0,VLOOKUP($M29,Bauteile!$B:$J,O$9,FALSE),0)</f>
        <v>0.53</v>
      </c>
      <c r="P29" s="645">
        <f>IF($M29&gt;0,VLOOKUP($M29,Bauteile!$B:$J,P$9,FALSE),0)</f>
        <v>0.9</v>
      </c>
      <c r="Q29" s="645">
        <f>IF($M29&gt;0,VLOOKUP($M29,Bauteile!$B:$J,Q$9,FALSE),0)</f>
        <v>0.7</v>
      </c>
      <c r="R29" s="645">
        <f t="shared" ca="1" si="3"/>
        <v>7.79</v>
      </c>
    </row>
    <row r="30" spans="1:18" ht="13.8" thickBot="1">
      <c r="A30" s="638" t="str">
        <f>Gebaeude!B36</f>
        <v>W 5</v>
      </c>
      <c r="B30" s="638" t="str">
        <f t="shared" si="4"/>
        <v/>
      </c>
      <c r="C30" s="638" t="str">
        <f t="shared" si="5"/>
        <v/>
      </c>
      <c r="D30" s="651"/>
      <c r="E30" s="18"/>
      <c r="F30" s="645">
        <f t="shared" ca="1" si="6"/>
        <v>0</v>
      </c>
      <c r="G30" s="652"/>
      <c r="H30" s="653"/>
      <c r="I30" s="654"/>
      <c r="J30" s="648"/>
      <c r="K30" s="648"/>
      <c r="L30" s="649" t="str">
        <f t="shared" si="2"/>
        <v>W 5</v>
      </c>
      <c r="M30" s="650"/>
      <c r="N30" s="645">
        <f>IF($M30&gt;0,VLOOKUP($M30,Bauteile!$B:$J,N$9,FALSE),0)</f>
        <v>0</v>
      </c>
      <c r="O30" s="645">
        <f>IF($M30&gt;0,VLOOKUP($M30,Bauteile!$B:$J,O$9,FALSE),0)</f>
        <v>0</v>
      </c>
      <c r="P30" s="645">
        <f>IF($M30&gt;0,VLOOKUP($M30,Bauteile!$B:$J,P$9,FALSE),0)</f>
        <v>0</v>
      </c>
      <c r="Q30" s="645">
        <f>IF($M30&gt;0,VLOOKUP($M30,Bauteile!$B:$J,Q$9,FALSE),0)</f>
        <v>0</v>
      </c>
      <c r="R30" s="645">
        <f t="shared" ca="1" si="3"/>
        <v>0</v>
      </c>
    </row>
    <row r="31" spans="1:18" ht="13.8" thickBot="1">
      <c r="A31" s="638" t="str">
        <f>Gebaeude!B37</f>
        <v>W 6</v>
      </c>
      <c r="B31" s="638" t="str">
        <f t="shared" si="4"/>
        <v/>
      </c>
      <c r="C31" s="638" t="str">
        <f t="shared" si="5"/>
        <v/>
      </c>
      <c r="D31" s="655"/>
      <c r="E31" s="18"/>
      <c r="F31" s="645">
        <f t="shared" ca="1" si="6"/>
        <v>0</v>
      </c>
      <c r="G31" s="660"/>
      <c r="H31" s="656"/>
      <c r="I31" s="657"/>
      <c r="J31" s="721"/>
      <c r="K31" s="721"/>
      <c r="L31" s="649" t="str">
        <f t="shared" si="2"/>
        <v>W 6</v>
      </c>
      <c r="M31" s="650"/>
      <c r="N31" s="645">
        <f>IF($M31&gt;0,VLOOKUP($M31,Bauteile!$B:$J,N$9,FALSE),0)</f>
        <v>0</v>
      </c>
      <c r="O31" s="645">
        <f>IF($M31&gt;0,VLOOKUP($M31,Bauteile!$B:$J,O$9,FALSE),0)</f>
        <v>0</v>
      </c>
      <c r="P31" s="645">
        <f>IF($M31&gt;0,VLOOKUP($M31,Bauteile!$B:$J,P$9,FALSE),0)</f>
        <v>0</v>
      </c>
      <c r="Q31" s="645">
        <f>IF($M31&gt;0,VLOOKUP($M31,Bauteile!$B:$J,Q$9,FALSE),0)</f>
        <v>0</v>
      </c>
      <c r="R31" s="645">
        <f t="shared" ca="1" si="3"/>
        <v>0</v>
      </c>
    </row>
    <row r="32" spans="1:18" ht="13.8" thickBot="1">
      <c r="A32" s="638"/>
      <c r="B32" s="638"/>
      <c r="C32" s="638"/>
      <c r="D32" s="661"/>
      <c r="E32" s="18"/>
      <c r="F32" s="645"/>
      <c r="G32" s="662"/>
      <c r="H32" s="663"/>
      <c r="I32" s="664"/>
      <c r="J32" s="664"/>
      <c r="K32" s="664"/>
      <c r="L32" s="649"/>
      <c r="M32" s="661"/>
      <c r="N32" s="645"/>
      <c r="O32" s="645"/>
      <c r="P32" s="645"/>
      <c r="Q32" s="645"/>
      <c r="R32" s="645"/>
    </row>
    <row r="33" spans="1:19" ht="13.8" thickBot="1">
      <c r="A33" s="637" t="str">
        <f>Gebaeude!B39</f>
        <v>2.1.3 Haustür</v>
      </c>
      <c r="B33" s="638"/>
      <c r="C33" s="638"/>
      <c r="D33" s="638"/>
      <c r="E33" s="665"/>
      <c r="F33" s="666"/>
      <c r="G33" s="667"/>
      <c r="H33" s="668"/>
      <c r="I33" s="1"/>
      <c r="J33" s="122">
        <f>ROW(A34)</f>
        <v>34</v>
      </c>
      <c r="K33" s="122">
        <f>ROW(A35)</f>
        <v>35</v>
      </c>
      <c r="L33" s="649" t="str">
        <f t="shared" si="2"/>
        <v>2.1.3 Haustür</v>
      </c>
      <c r="M33" s="638"/>
      <c r="N33" s="645"/>
      <c r="O33" s="645"/>
      <c r="P33" s="645"/>
      <c r="Q33" s="645"/>
      <c r="R33" s="645"/>
    </row>
    <row r="34" spans="1:19" ht="13.8" thickBot="1">
      <c r="A34" s="638" t="str">
        <f>Gebaeude!B40</f>
        <v>T 1</v>
      </c>
      <c r="B34" s="638" t="str">
        <f>IF($D34&gt;0,VLOOKUP($D34,$A$12:$C$23,2,FALSE),"")</f>
        <v>Nord</v>
      </c>
      <c r="C34" s="638" t="str">
        <f>IF($D34&gt;0,VLOOKUP($D34,$A$12:$C$23,3,FALSE),"")</f>
        <v>90°</v>
      </c>
      <c r="D34" s="644" t="s">
        <v>4</v>
      </c>
      <c r="E34" s="18"/>
      <c r="F34" s="645">
        <f ca="1">Text_als_Formel(G34)</f>
        <v>3.81</v>
      </c>
      <c r="G34" s="646" t="s">
        <v>1110</v>
      </c>
      <c r="H34" s="647"/>
      <c r="I34" s="648"/>
      <c r="J34" s="648"/>
      <c r="K34" s="648"/>
      <c r="L34" s="649" t="str">
        <f t="shared" si="2"/>
        <v>T 1</v>
      </c>
      <c r="M34" s="650" t="s">
        <v>1736</v>
      </c>
      <c r="N34" s="645">
        <f>IF($M34&gt;0,VLOOKUP($M34,Bauteile!$B:$J,N$9,FALSE),0)</f>
        <v>1.8</v>
      </c>
      <c r="O34" s="645">
        <f>IF($M34&gt;0,VLOOKUP($M34,Bauteile!$B:$J,O$9,FALSE),0)</f>
        <v>0.5</v>
      </c>
      <c r="P34" s="645">
        <f>IF($M34&gt;0,VLOOKUP($M34,Bauteile!$B:$J,P$9,FALSE),0)</f>
        <v>0</v>
      </c>
      <c r="Q34" s="645">
        <f>IF($M34&gt;0,VLOOKUP($M34,Bauteile!$B:$J,Q$9,FALSE),0)</f>
        <v>0</v>
      </c>
      <c r="R34" s="645">
        <f t="shared" ca="1" si="3"/>
        <v>3.81</v>
      </c>
    </row>
    <row r="35" spans="1:19" ht="13.8" thickBot="1">
      <c r="A35" s="638" t="str">
        <f>Gebaeude!B41</f>
        <v>T 2</v>
      </c>
      <c r="B35" s="638" t="str">
        <f>IF($D35&gt;0,VLOOKUP($D35,$A$12:$C$23,2,FALSE),"")</f>
        <v/>
      </c>
      <c r="C35" s="638" t="str">
        <f>IF($D35&gt;0,VLOOKUP($D35,$A$12:$C$23,3,FALSE),"")</f>
        <v/>
      </c>
      <c r="D35" s="655"/>
      <c r="E35" s="18"/>
      <c r="F35" s="645">
        <f ca="1">Text_als_Formel(G35)</f>
        <v>0</v>
      </c>
      <c r="G35" s="660"/>
      <c r="H35" s="656"/>
      <c r="I35" s="657"/>
      <c r="J35" s="721"/>
      <c r="K35" s="721"/>
      <c r="L35" s="649" t="str">
        <f t="shared" si="2"/>
        <v>T 2</v>
      </c>
      <c r="M35" s="650"/>
      <c r="N35" s="645">
        <f>IF($M35&gt;0,VLOOKUP($M35,Bauteile!$B:$J,N$9,FALSE),0)</f>
        <v>0</v>
      </c>
      <c r="O35" s="645">
        <f>IF($M35&gt;0,VLOOKUP($M35,Bauteile!$B:$J,O$9,FALSE),0)</f>
        <v>0</v>
      </c>
      <c r="P35" s="645">
        <f>IF($M35&gt;0,VLOOKUP($M35,Bauteile!$B:$J,P$9,FALSE),0)</f>
        <v>0</v>
      </c>
      <c r="Q35" s="645">
        <f>IF($M35&gt;0,VLOOKUP($M35,Bauteile!$B:$J,Q$9,FALSE),0)</f>
        <v>0</v>
      </c>
      <c r="R35" s="645">
        <f t="shared" ca="1" si="3"/>
        <v>0</v>
      </c>
    </row>
    <row r="36" spans="1:19" ht="49.2">
      <c r="A36" s="674" t="s">
        <v>9</v>
      </c>
      <c r="B36" s="675" t="s">
        <v>1738</v>
      </c>
      <c r="C36" s="675" t="s">
        <v>1103</v>
      </c>
      <c r="D36" s="675" t="s">
        <v>75</v>
      </c>
      <c r="E36" s="675" t="s">
        <v>1737</v>
      </c>
      <c r="F36" s="675" t="s">
        <v>1102</v>
      </c>
      <c r="G36" s="676" t="s">
        <v>1104</v>
      </c>
      <c r="H36" s="671" t="s">
        <v>1720</v>
      </c>
      <c r="I36" s="684"/>
      <c r="J36" s="722"/>
      <c r="K36" s="722"/>
      <c r="L36" s="674" t="s">
        <v>9</v>
      </c>
      <c r="M36" s="675" t="s">
        <v>1101</v>
      </c>
      <c r="N36" s="717" t="s">
        <v>953</v>
      </c>
      <c r="O36" s="717" t="s">
        <v>2490</v>
      </c>
      <c r="P36" s="718" t="s">
        <v>2489</v>
      </c>
      <c r="Q36" s="718" t="s">
        <v>2488</v>
      </c>
      <c r="R36" s="719" t="s">
        <v>1102</v>
      </c>
    </row>
    <row r="37" spans="1:19" ht="13.8" thickBot="1">
      <c r="A37" s="637" t="str">
        <f>Gebaeude!B44</f>
        <v>2.1.4 Dach</v>
      </c>
      <c r="B37" s="638"/>
      <c r="C37" s="638"/>
      <c r="D37" s="638"/>
      <c r="E37" s="638"/>
      <c r="F37" s="638" t="s">
        <v>1785</v>
      </c>
      <c r="G37" s="667"/>
      <c r="H37" s="668"/>
      <c r="I37" s="1"/>
      <c r="J37" s="122">
        <f>ROW(A38)</f>
        <v>38</v>
      </c>
      <c r="K37" s="122">
        <f>ROW(A46)</f>
        <v>46</v>
      </c>
      <c r="L37" s="649" t="str">
        <f t="shared" si="2"/>
        <v>2.1.4 Dach</v>
      </c>
      <c r="M37" s="638"/>
      <c r="N37" s="645" t="str">
        <f>IF($M37&gt;0,VLOOKUP($M37,Bauteile!$B:$J,N$9,FALSE),"")</f>
        <v/>
      </c>
      <c r="O37" s="645" t="str">
        <f>IF($M37&gt;0,VLOOKUP($M37,Bauteile!$B:$J,O$9,FALSE),"")</f>
        <v/>
      </c>
      <c r="P37" s="645" t="str">
        <f>IF($M37&gt;0,VLOOKUP($M37,Bauteile!$B:$J,P$9,FALSE),"")</f>
        <v/>
      </c>
      <c r="Q37" s="645" t="str">
        <f>IF($M37&gt;0,VLOOKUP($M37,Bauteile!$B:$J,Q$9,FALSE),"")</f>
        <v/>
      </c>
      <c r="R37" s="677" t="s">
        <v>1785</v>
      </c>
    </row>
    <row r="38" spans="1:19" ht="27" thickBot="1">
      <c r="A38" s="638" t="str">
        <f>Gebaeude!B45</f>
        <v>D 1</v>
      </c>
      <c r="B38" s="678" t="s">
        <v>12</v>
      </c>
      <c r="C38" s="650" t="s">
        <v>16</v>
      </c>
      <c r="D38" s="638"/>
      <c r="E38" s="645">
        <f ca="1">Text_als_Formel(G38)</f>
        <v>22.648000000000003</v>
      </c>
      <c r="F38" s="645">
        <f t="shared" ref="F38:F45" ca="1" si="7">E38-SUMIF($D$48:$D$51,$A38,$F$48:$F$51)</f>
        <v>22.648000000000003</v>
      </c>
      <c r="G38" s="646" t="s">
        <v>2954</v>
      </c>
      <c r="H38" s="647" t="s">
        <v>2550</v>
      </c>
      <c r="I38" s="648"/>
      <c r="J38" s="648"/>
      <c r="K38" s="648"/>
      <c r="L38" s="649" t="str">
        <f t="shared" si="2"/>
        <v>D 1</v>
      </c>
      <c r="M38" s="650" t="s">
        <v>2530</v>
      </c>
      <c r="N38" s="645">
        <f ca="1">IF($M38&gt;0,VLOOKUP($M38,Bauteile!$B:$J,N$9,FALSE),0)</f>
        <v>0.17835398371787425</v>
      </c>
      <c r="O38" s="645">
        <f>IF($M38&gt;0,VLOOKUP($M38,Bauteile!$B:$J,O$9,FALSE),0)</f>
        <v>0.5</v>
      </c>
      <c r="P38" s="645">
        <f>IF($M38&gt;0,VLOOKUP($M38,Bauteile!$B:$J,P$9,FALSE),0)</f>
        <v>0</v>
      </c>
      <c r="Q38" s="645">
        <f>IF($M38&gt;0,VLOOKUP($M38,Bauteile!$B:$J,Q$9,FALSE),0)</f>
        <v>0</v>
      </c>
      <c r="R38" s="645">
        <f t="shared" ca="1" si="3"/>
        <v>22.648000000000003</v>
      </c>
      <c r="S38" s="183"/>
    </row>
    <row r="39" spans="1:19" ht="27" thickBot="1">
      <c r="A39" s="638" t="str">
        <f>Gebaeude!B46</f>
        <v>D 2</v>
      </c>
      <c r="B39" s="679" t="s">
        <v>11</v>
      </c>
      <c r="C39" s="650" t="s">
        <v>16</v>
      </c>
      <c r="D39" s="638"/>
      <c r="E39" s="645">
        <f t="shared" ref="E39:E45" ca="1" si="8">Text_als_Formel(G39)</f>
        <v>22.648000000000003</v>
      </c>
      <c r="F39" s="645">
        <f t="shared" ca="1" si="7"/>
        <v>22.648000000000003</v>
      </c>
      <c r="G39" s="646" t="s">
        <v>2954</v>
      </c>
      <c r="H39" s="647" t="s">
        <v>2550</v>
      </c>
      <c r="I39" s="654"/>
      <c r="J39" s="648"/>
      <c r="K39" s="648"/>
      <c r="L39" s="649" t="str">
        <f t="shared" si="2"/>
        <v>D 2</v>
      </c>
      <c r="M39" s="650" t="s">
        <v>2530</v>
      </c>
      <c r="N39" s="645">
        <f ca="1">IF($M39&gt;0,VLOOKUP($M39,Bauteile!$B:$J,N$9,FALSE),0)</f>
        <v>0.17835398371787425</v>
      </c>
      <c r="O39" s="645">
        <f>IF($M39&gt;0,VLOOKUP($M39,Bauteile!$B:$J,O$9,FALSE),0)</f>
        <v>0.5</v>
      </c>
      <c r="P39" s="645">
        <f>IF($M39&gt;0,VLOOKUP($M39,Bauteile!$B:$J,P$9,FALSE),0)</f>
        <v>0</v>
      </c>
      <c r="Q39" s="645">
        <f>IF($M39&gt;0,VLOOKUP($M39,Bauteile!$B:$J,Q$9,FALSE),0)</f>
        <v>0</v>
      </c>
      <c r="R39" s="645">
        <f t="shared" ca="1" si="3"/>
        <v>22.648000000000003</v>
      </c>
    </row>
    <row r="40" spans="1:19" ht="13.8" thickBot="1">
      <c r="A40" s="638" t="str">
        <f>Gebaeude!B47</f>
        <v>D 3</v>
      </c>
      <c r="B40" s="679" t="s">
        <v>980</v>
      </c>
      <c r="C40" s="650" t="s">
        <v>16</v>
      </c>
      <c r="D40" s="638"/>
      <c r="E40" s="645">
        <f t="shared" ca="1" si="8"/>
        <v>0.76140000000000008</v>
      </c>
      <c r="F40" s="645">
        <f t="shared" ca="1" si="7"/>
        <v>0.76140000000000008</v>
      </c>
      <c r="G40" s="652" t="s">
        <v>2455</v>
      </c>
      <c r="H40" s="653" t="s">
        <v>1111</v>
      </c>
      <c r="I40" s="654"/>
      <c r="J40" s="648"/>
      <c r="K40" s="648"/>
      <c r="L40" s="649" t="str">
        <f t="shared" si="2"/>
        <v>D 3</v>
      </c>
      <c r="M40" s="650" t="s">
        <v>2530</v>
      </c>
      <c r="N40" s="645">
        <f ca="1">IF($M40&gt;0,VLOOKUP($M40,Bauteile!$B:$J,N$9,FALSE),0)</f>
        <v>0.17835398371787425</v>
      </c>
      <c r="O40" s="645">
        <f>IF($M40&gt;0,VLOOKUP($M40,Bauteile!$B:$J,O$9,FALSE),0)</f>
        <v>0.5</v>
      </c>
      <c r="P40" s="645">
        <f>IF($M40&gt;0,VLOOKUP($M40,Bauteile!$B:$J,P$9,FALSE),0)</f>
        <v>0</v>
      </c>
      <c r="Q40" s="645">
        <f>IF($M40&gt;0,VLOOKUP($M40,Bauteile!$B:$J,Q$9,FALSE),0)</f>
        <v>0</v>
      </c>
      <c r="R40" s="645">
        <f t="shared" ca="1" si="3"/>
        <v>0.76140000000000008</v>
      </c>
    </row>
    <row r="41" spans="1:19" ht="13.8" thickBot="1">
      <c r="A41" s="638" t="str">
        <f>Gebaeude!B48</f>
        <v>D 4</v>
      </c>
      <c r="B41" s="679" t="s">
        <v>980</v>
      </c>
      <c r="C41" s="650" t="s">
        <v>16</v>
      </c>
      <c r="D41" s="638"/>
      <c r="E41" s="645">
        <f t="shared" ca="1" si="8"/>
        <v>0.76140000000000008</v>
      </c>
      <c r="F41" s="645">
        <f t="shared" ca="1" si="7"/>
        <v>0.76140000000000008</v>
      </c>
      <c r="G41" s="652" t="s">
        <v>2455</v>
      </c>
      <c r="H41" s="653" t="s">
        <v>1111</v>
      </c>
      <c r="I41" s="654"/>
      <c r="J41" s="648"/>
      <c r="K41" s="648"/>
      <c r="L41" s="649" t="str">
        <f t="shared" si="2"/>
        <v>D 4</v>
      </c>
      <c r="M41" s="650" t="s">
        <v>2530</v>
      </c>
      <c r="N41" s="645">
        <f ca="1">IF($M41&gt;0,VLOOKUP($M41,Bauteile!$B:$J,N$9,FALSE),0)</f>
        <v>0.17835398371787425</v>
      </c>
      <c r="O41" s="645">
        <f>IF($M41&gt;0,VLOOKUP($M41,Bauteile!$B:$J,O$9,FALSE),0)</f>
        <v>0.5</v>
      </c>
      <c r="P41" s="645">
        <f>IF($M41&gt;0,VLOOKUP($M41,Bauteile!$B:$J,P$9,FALSE),0)</f>
        <v>0</v>
      </c>
      <c r="Q41" s="645">
        <f>IF($M41&gt;0,VLOOKUP($M41,Bauteile!$B:$J,Q$9,FALSE),0)</f>
        <v>0</v>
      </c>
      <c r="R41" s="645">
        <f t="shared" ca="1" si="3"/>
        <v>0.76140000000000008</v>
      </c>
    </row>
    <row r="42" spans="1:19" ht="13.8" thickBot="1">
      <c r="A42" s="638" t="str">
        <f>Gebaeude!B49</f>
        <v>D 5</v>
      </c>
      <c r="B42" s="679"/>
      <c r="C42" s="680"/>
      <c r="D42" s="638"/>
      <c r="E42" s="645">
        <f t="shared" ca="1" si="8"/>
        <v>0</v>
      </c>
      <c r="F42" s="645">
        <f t="shared" ca="1" si="7"/>
        <v>0</v>
      </c>
      <c r="G42" s="652"/>
      <c r="H42" s="653"/>
      <c r="I42" s="654"/>
      <c r="J42" s="648"/>
      <c r="K42" s="648"/>
      <c r="L42" s="649" t="str">
        <f t="shared" si="2"/>
        <v>D 5</v>
      </c>
      <c r="M42" s="650" t="s">
        <v>2530</v>
      </c>
      <c r="N42" s="645">
        <f ca="1">IF($M42&gt;0,VLOOKUP($M42,Bauteile!$B:$J,N$9,FALSE),0)</f>
        <v>0.17835398371787425</v>
      </c>
      <c r="O42" s="645">
        <f>IF($M42&gt;0,VLOOKUP($M42,Bauteile!$B:$J,O$9,FALSE),0)</f>
        <v>0.5</v>
      </c>
      <c r="P42" s="645">
        <f>IF($M42&gt;0,VLOOKUP($M42,Bauteile!$B:$J,P$9,FALSE),0)</f>
        <v>0</v>
      </c>
      <c r="Q42" s="645">
        <f>IF($M42&gt;0,VLOOKUP($M42,Bauteile!$B:$J,Q$9,FALSE),0)</f>
        <v>0</v>
      </c>
      <c r="R42" s="645">
        <f t="shared" ca="1" si="3"/>
        <v>0</v>
      </c>
    </row>
    <row r="43" spans="1:19" ht="13.8" thickBot="1">
      <c r="A43" s="638" t="str">
        <f>Gebaeude!B50</f>
        <v>D 6</v>
      </c>
      <c r="B43" s="679"/>
      <c r="C43" s="680"/>
      <c r="D43" s="638"/>
      <c r="E43" s="645">
        <f t="shared" ca="1" si="8"/>
        <v>0</v>
      </c>
      <c r="F43" s="645">
        <f t="shared" ca="1" si="7"/>
        <v>0</v>
      </c>
      <c r="G43" s="652"/>
      <c r="H43" s="653"/>
      <c r="I43" s="654"/>
      <c r="J43" s="648"/>
      <c r="K43" s="648"/>
      <c r="L43" s="649" t="str">
        <f t="shared" si="2"/>
        <v>D 6</v>
      </c>
      <c r="M43" s="650"/>
      <c r="N43" s="645">
        <f>IF($M43&gt;0,VLOOKUP($M43,Bauteile!$B:$J,N$9,FALSE),0)</f>
        <v>0</v>
      </c>
      <c r="O43" s="645">
        <f>IF($M43&gt;0,VLOOKUP($M43,Bauteile!$B:$J,O$9,FALSE),0)</f>
        <v>0</v>
      </c>
      <c r="P43" s="645">
        <f>IF($M43&gt;0,VLOOKUP($M43,Bauteile!$B:$J,P$9,FALSE),0)</f>
        <v>0</v>
      </c>
      <c r="Q43" s="645">
        <f>IF($M43&gt;0,VLOOKUP($M43,Bauteile!$B:$J,Q$9,FALSE),0)</f>
        <v>0</v>
      </c>
      <c r="R43" s="645">
        <f t="shared" ca="1" si="3"/>
        <v>0</v>
      </c>
    </row>
    <row r="44" spans="1:19" ht="13.8" thickBot="1">
      <c r="A44" s="638" t="str">
        <f>Gebaeude!B51</f>
        <v>D 7</v>
      </c>
      <c r="B44" s="679"/>
      <c r="C44" s="680"/>
      <c r="D44" s="638"/>
      <c r="E44" s="645">
        <f t="shared" ca="1" si="8"/>
        <v>0</v>
      </c>
      <c r="F44" s="645">
        <f t="shared" ca="1" si="7"/>
        <v>0</v>
      </c>
      <c r="G44" s="652"/>
      <c r="H44" s="653"/>
      <c r="I44" s="654"/>
      <c r="J44" s="648"/>
      <c r="K44" s="648"/>
      <c r="L44" s="649" t="str">
        <f t="shared" si="2"/>
        <v>D 7</v>
      </c>
      <c r="M44" s="650"/>
      <c r="N44" s="645">
        <f>IF($M44&gt;0,VLOOKUP($M44,Bauteile!$B:$J,N$9,FALSE),0)</f>
        <v>0</v>
      </c>
      <c r="O44" s="645">
        <f>IF($M44&gt;0,VLOOKUP($M44,Bauteile!$B:$J,O$9,FALSE),0)</f>
        <v>0</v>
      </c>
      <c r="P44" s="645">
        <f>IF($M44&gt;0,VLOOKUP($M44,Bauteile!$B:$J,P$9,FALSE),0)</f>
        <v>0</v>
      </c>
      <c r="Q44" s="645">
        <f>IF($M44&gt;0,VLOOKUP($M44,Bauteile!$B:$J,Q$9,FALSE),0)</f>
        <v>0</v>
      </c>
      <c r="R44" s="645">
        <f t="shared" ca="1" si="3"/>
        <v>0</v>
      </c>
    </row>
    <row r="45" spans="1:19" ht="13.8" thickBot="1">
      <c r="A45" s="638" t="str">
        <f>Gebaeude!B52</f>
        <v>D 8</v>
      </c>
      <c r="B45" s="681"/>
      <c r="C45" s="682"/>
      <c r="D45" s="638"/>
      <c r="E45" s="645">
        <f t="shared" ca="1" si="8"/>
        <v>0</v>
      </c>
      <c r="F45" s="645">
        <f t="shared" ca="1" si="7"/>
        <v>0</v>
      </c>
      <c r="G45" s="660"/>
      <c r="H45" s="656"/>
      <c r="I45" s="657"/>
      <c r="J45" s="721"/>
      <c r="K45" s="721"/>
      <c r="L45" s="649" t="str">
        <f t="shared" si="2"/>
        <v>D 8</v>
      </c>
      <c r="M45" s="650"/>
      <c r="N45" s="645">
        <f>IF($M45&gt;0,VLOOKUP($M45,Bauteile!$B:$J,N$9,FALSE),0)</f>
        <v>0</v>
      </c>
      <c r="O45" s="645">
        <f>IF($M45&gt;0,VLOOKUP($M45,Bauteile!$B:$J,O$9,FALSE),0)</f>
        <v>0</v>
      </c>
      <c r="P45" s="645">
        <f>IF($M45&gt;0,VLOOKUP($M45,Bauteile!$B:$J,P$9,FALSE),0)</f>
        <v>0</v>
      </c>
      <c r="Q45" s="645">
        <f>IF($M45&gt;0,VLOOKUP($M45,Bauteile!$B:$J,Q$9,FALSE),0)</f>
        <v>0</v>
      </c>
      <c r="R45" s="645">
        <f t="shared" ca="1" si="3"/>
        <v>0</v>
      </c>
    </row>
    <row r="46" spans="1:19" ht="13.8" thickBot="1">
      <c r="A46" s="638"/>
      <c r="B46" s="661"/>
      <c r="C46" s="661"/>
      <c r="D46" s="638"/>
      <c r="E46" s="645"/>
      <c r="F46" s="645"/>
      <c r="G46" s="662"/>
      <c r="H46" s="663"/>
      <c r="I46" s="664"/>
      <c r="J46" s="664"/>
      <c r="K46" s="664"/>
      <c r="L46" s="649"/>
      <c r="M46" s="661"/>
      <c r="N46" s="645"/>
      <c r="O46" s="645"/>
      <c r="P46" s="645"/>
      <c r="Q46" s="645"/>
      <c r="R46" s="645"/>
    </row>
    <row r="47" spans="1:19" ht="13.8" thickBot="1">
      <c r="A47" s="637" t="str">
        <f>Gebaeude!B54</f>
        <v>2.1.5 Dachflächenfenster</v>
      </c>
      <c r="B47" s="638"/>
      <c r="C47" s="638"/>
      <c r="D47" s="638"/>
      <c r="E47" s="677"/>
      <c r="F47" s="666"/>
      <c r="G47" s="667"/>
      <c r="H47" s="668"/>
      <c r="I47" s="1"/>
      <c r="J47" s="122">
        <f>ROW(A48)</f>
        <v>48</v>
      </c>
      <c r="K47" s="122">
        <f>ROW(A52)</f>
        <v>52</v>
      </c>
      <c r="L47" s="649" t="str">
        <f t="shared" si="2"/>
        <v>2.1.5 Dachflächenfenster</v>
      </c>
      <c r="M47" s="638"/>
      <c r="N47" s="645"/>
      <c r="O47" s="645"/>
      <c r="P47" s="645"/>
      <c r="Q47" s="645"/>
      <c r="R47" s="645"/>
    </row>
    <row r="48" spans="1:19" ht="13.8" thickBot="1">
      <c r="A48" s="638" t="str">
        <f>Gebaeude!B55</f>
        <v>W 7</v>
      </c>
      <c r="B48" s="638" t="str">
        <f>IF($D48&gt;0,VLOOKUP($D48,$A$38:$C$45,2,FALSE),"")</f>
        <v/>
      </c>
      <c r="C48" s="638" t="str">
        <f>IF($D48&gt;0,VLOOKUP($D48,$A$38:$C$45,3,FALSE),"")</f>
        <v/>
      </c>
      <c r="D48" s="644"/>
      <c r="E48" s="527"/>
      <c r="F48" s="645">
        <f ca="1">Text_als_Formel(G48)</f>
        <v>0</v>
      </c>
      <c r="G48" s="652"/>
      <c r="H48" s="647"/>
      <c r="I48" s="648"/>
      <c r="J48" s="648"/>
      <c r="K48" s="648"/>
      <c r="L48" s="649" t="str">
        <f t="shared" si="2"/>
        <v>W 7</v>
      </c>
      <c r="M48" s="650"/>
      <c r="N48" s="645">
        <f>IF($M48&gt;0,VLOOKUP($M48,Bauteile!$B:$J,N$9,FALSE),0)</f>
        <v>0</v>
      </c>
      <c r="O48" s="645">
        <f>IF($M48&gt;0,VLOOKUP($M48,Bauteile!$B:$J,O$9,FALSE),0)</f>
        <v>0</v>
      </c>
      <c r="P48" s="645">
        <f>IF($M48&gt;0,VLOOKUP($M48,Bauteile!$B:$J,P$9,FALSE),0)</f>
        <v>0</v>
      </c>
      <c r="Q48" s="645">
        <f>IF($M48&gt;0,VLOOKUP($M48,Bauteile!$B:$J,Q$9,FALSE),0)</f>
        <v>0</v>
      </c>
      <c r="R48" s="645">
        <f t="shared" ca="1" si="3"/>
        <v>0</v>
      </c>
    </row>
    <row r="49" spans="1:18" ht="13.8" thickBot="1">
      <c r="A49" s="638" t="str">
        <f>Gebaeude!B56</f>
        <v>W 8</v>
      </c>
      <c r="B49" s="638" t="str">
        <f>IF($D49&gt;0,VLOOKUP($D49,$A$38:$C$45,2,FALSE),"")</f>
        <v/>
      </c>
      <c r="C49" s="638" t="str">
        <f>IF($D49&gt;0,VLOOKUP($D49,$A$38:$C$45,3,FALSE),"")</f>
        <v/>
      </c>
      <c r="D49" s="651"/>
      <c r="E49" s="527"/>
      <c r="F49" s="645">
        <f ca="1">Text_als_Formel(G49)</f>
        <v>0</v>
      </c>
      <c r="G49" s="652"/>
      <c r="H49" s="653"/>
      <c r="I49" s="654"/>
      <c r="J49" s="648"/>
      <c r="K49" s="648"/>
      <c r="L49" s="649" t="str">
        <f t="shared" si="2"/>
        <v>W 8</v>
      </c>
      <c r="M49" s="650"/>
      <c r="N49" s="645">
        <f>IF($M49&gt;0,VLOOKUP($M49,Bauteile!$B:$J,N$9,FALSE),0)</f>
        <v>0</v>
      </c>
      <c r="O49" s="645">
        <f>IF($M49&gt;0,VLOOKUP($M49,Bauteile!$B:$J,O$9,FALSE),0)</f>
        <v>0</v>
      </c>
      <c r="P49" s="645">
        <f>IF($M49&gt;0,VLOOKUP($M49,Bauteile!$B:$J,P$9,FALSE),0)</f>
        <v>0</v>
      </c>
      <c r="Q49" s="645">
        <f>IF($M49&gt;0,VLOOKUP($M49,Bauteile!$B:$J,Q$9,FALSE),0)</f>
        <v>0</v>
      </c>
      <c r="R49" s="645">
        <f t="shared" ca="1" si="3"/>
        <v>0</v>
      </c>
    </row>
    <row r="50" spans="1:18" ht="13.8" thickBot="1">
      <c r="A50" s="638" t="str">
        <f>Gebaeude!B57</f>
        <v>W 9</v>
      </c>
      <c r="B50" s="638" t="str">
        <f>IF($D50&gt;0,VLOOKUP($D50,$A$38:$C$45,2,FALSE),"")</f>
        <v/>
      </c>
      <c r="C50" s="638" t="str">
        <f>IF($D50&gt;0,VLOOKUP($D50,$A$38:$C$45,3,FALSE),"")</f>
        <v/>
      </c>
      <c r="D50" s="651"/>
      <c r="E50" s="527"/>
      <c r="F50" s="645">
        <f ca="1">Text_als_Formel(G50)</f>
        <v>0</v>
      </c>
      <c r="G50" s="652"/>
      <c r="H50" s="653"/>
      <c r="I50" s="654"/>
      <c r="J50" s="648"/>
      <c r="K50" s="648"/>
      <c r="L50" s="649" t="str">
        <f t="shared" si="2"/>
        <v>W 9</v>
      </c>
      <c r="M50" s="650"/>
      <c r="N50" s="645">
        <f>IF($M50&gt;0,VLOOKUP($M50,Bauteile!$B:$J,N$9,FALSE),0)</f>
        <v>0</v>
      </c>
      <c r="O50" s="645">
        <f>IF($M50&gt;0,VLOOKUP($M50,Bauteile!$B:$J,O$9,FALSE),0)</f>
        <v>0</v>
      </c>
      <c r="P50" s="645">
        <f>IF($M50&gt;0,VLOOKUP($M50,Bauteile!$B:$J,P$9,FALSE),0)</f>
        <v>0</v>
      </c>
      <c r="Q50" s="645">
        <f>IF($M50&gt;0,VLOOKUP($M50,Bauteile!$B:$J,Q$9,FALSE),0)</f>
        <v>0</v>
      </c>
      <c r="R50" s="645">
        <f t="shared" ca="1" si="3"/>
        <v>0</v>
      </c>
    </row>
    <row r="51" spans="1:18" ht="13.8" thickBot="1">
      <c r="A51" s="638" t="str">
        <f>Gebaeude!B58</f>
        <v>W 10</v>
      </c>
      <c r="B51" s="638" t="str">
        <f>IF($D51&gt;0,VLOOKUP($D51,$A$38:$C$45,2,FALSE),"")</f>
        <v/>
      </c>
      <c r="C51" s="638" t="str">
        <f>IF($D51&gt;0,VLOOKUP($D51,$A$38:$C$45,3,FALSE),"")</f>
        <v/>
      </c>
      <c r="D51" s="655"/>
      <c r="E51" s="527"/>
      <c r="F51" s="645">
        <f ca="1">Text_als_Formel(G51)</f>
        <v>0</v>
      </c>
      <c r="G51" s="660"/>
      <c r="H51" s="656"/>
      <c r="I51" s="657"/>
      <c r="J51" s="721"/>
      <c r="K51" s="721"/>
      <c r="L51" s="649" t="str">
        <f t="shared" si="2"/>
        <v>W 10</v>
      </c>
      <c r="M51" s="650"/>
      <c r="N51" s="645">
        <f>IF($M51&gt;0,VLOOKUP($M51,Bauteile!$B:$J,N$9,FALSE),0)</f>
        <v>0</v>
      </c>
      <c r="O51" s="645">
        <f>IF($M51&gt;0,VLOOKUP($M51,Bauteile!$B:$J,O$9,FALSE),0)</f>
        <v>0</v>
      </c>
      <c r="P51" s="645">
        <f>IF($M51&gt;0,VLOOKUP($M51,Bauteile!$B:$J,P$9,FALSE),0)</f>
        <v>0</v>
      </c>
      <c r="Q51" s="645">
        <f>IF($M51&gt;0,VLOOKUP($M51,Bauteile!$B:$J,Q$9,FALSE),0)</f>
        <v>0</v>
      </c>
      <c r="R51" s="645">
        <f t="shared" ca="1" si="3"/>
        <v>0</v>
      </c>
    </row>
    <row r="52" spans="1:18" ht="13.8" thickBot="1">
      <c r="A52" s="638"/>
      <c r="B52" s="638"/>
      <c r="C52" s="638"/>
      <c r="D52" s="661"/>
      <c r="E52" s="527"/>
      <c r="F52" s="645"/>
      <c r="G52" s="662"/>
      <c r="H52" s="663"/>
      <c r="I52" s="664"/>
      <c r="J52" s="664"/>
      <c r="K52" s="664"/>
      <c r="L52" s="649"/>
      <c r="M52" s="661"/>
      <c r="N52" s="645"/>
      <c r="O52" s="645"/>
      <c r="P52" s="645"/>
      <c r="Q52" s="645"/>
      <c r="R52" s="645"/>
    </row>
    <row r="53" spans="1:18" ht="13.8" thickBot="1">
      <c r="A53" s="637" t="str">
        <f>Gebaeude!B60</f>
        <v>2.1.6 Oberste Geschossdecke</v>
      </c>
      <c r="B53" s="638"/>
      <c r="C53" s="638"/>
      <c r="D53" s="638"/>
      <c r="E53" s="18"/>
      <c r="F53" s="683"/>
      <c r="G53" s="667"/>
      <c r="H53" s="668"/>
      <c r="I53" s="1"/>
      <c r="J53" s="122">
        <f>ROW(A54)</f>
        <v>54</v>
      </c>
      <c r="K53" s="122">
        <f>ROW(A57)</f>
        <v>57</v>
      </c>
      <c r="L53" s="649" t="str">
        <f t="shared" si="2"/>
        <v>2.1.6 Oberste Geschossdecke</v>
      </c>
      <c r="M53" s="638"/>
      <c r="N53" s="645"/>
      <c r="O53" s="645"/>
      <c r="P53" s="645"/>
      <c r="Q53" s="645"/>
      <c r="R53" s="645"/>
    </row>
    <row r="54" spans="1:18" ht="27" thickBot="1">
      <c r="A54" s="638" t="str">
        <f>Gebaeude!B61</f>
        <v>OG 1</v>
      </c>
      <c r="B54" s="842" t="s">
        <v>354</v>
      </c>
      <c r="C54" s="638"/>
      <c r="D54" s="638"/>
      <c r="E54" s="527"/>
      <c r="F54" s="645">
        <f ca="1">Text_als_Formel(G54)</f>
        <v>58.266900000000007</v>
      </c>
      <c r="G54" s="646" t="s">
        <v>2551</v>
      </c>
      <c r="H54" s="647" t="s">
        <v>2552</v>
      </c>
      <c r="I54" s="648"/>
      <c r="J54" s="648"/>
      <c r="K54" s="648"/>
      <c r="L54" s="649" t="str">
        <f t="shared" si="2"/>
        <v>OG 1</v>
      </c>
      <c r="M54" s="650" t="s">
        <v>2527</v>
      </c>
      <c r="N54" s="645">
        <f ca="1">IF($M54&gt;0,VLOOKUP($M54,Bauteile!$B:$J,N$9,FALSE),0)</f>
        <v>0.1942833496939492</v>
      </c>
      <c r="O54" s="645">
        <f>IF($M54&gt;0,VLOOKUP($M54,Bauteile!$B:$J,O$9,FALSE),0)</f>
        <v>0.5</v>
      </c>
      <c r="P54" s="645">
        <f>IF($M54&gt;0,VLOOKUP($M54,Bauteile!$B:$J,P$9,FALSE),0)</f>
        <v>0</v>
      </c>
      <c r="Q54" s="645">
        <f>IF($M54&gt;0,VLOOKUP($M54,Bauteile!$B:$J,Q$9,FALSE),0)</f>
        <v>0</v>
      </c>
      <c r="R54" s="645">
        <f t="shared" ca="1" si="3"/>
        <v>58.266900000000007</v>
      </c>
    </row>
    <row r="55" spans="1:18" ht="13.8" thickBot="1">
      <c r="A55" s="638" t="str">
        <f>Gebaeude!B62</f>
        <v>OG 2</v>
      </c>
      <c r="B55" s="842" t="s">
        <v>354</v>
      </c>
      <c r="C55" s="638"/>
      <c r="D55" s="638"/>
      <c r="E55" s="527"/>
      <c r="F55" s="645">
        <f ca="1">Text_als_Formel(G55)</f>
        <v>0</v>
      </c>
      <c r="G55" s="652"/>
      <c r="H55" s="653"/>
      <c r="I55" s="654"/>
      <c r="J55" s="648"/>
      <c r="K55" s="648"/>
      <c r="L55" s="649" t="str">
        <f t="shared" si="2"/>
        <v>OG 2</v>
      </c>
      <c r="M55" s="650"/>
      <c r="N55" s="645">
        <f>IF($M55&gt;0,VLOOKUP($M55,Bauteile!$B:$J,N$9,FALSE),0)</f>
        <v>0</v>
      </c>
      <c r="O55" s="645">
        <f>IF($M55&gt;0,VLOOKUP($M55,Bauteile!$B:$J,O$9,FALSE),0)</f>
        <v>0</v>
      </c>
      <c r="P55" s="645">
        <f>IF($M55&gt;0,VLOOKUP($M55,Bauteile!$B:$J,P$9,FALSE),0)</f>
        <v>0</v>
      </c>
      <c r="Q55" s="645">
        <f>IF($M55&gt;0,VLOOKUP($M55,Bauteile!$B:$J,Q$9,FALSE),0)</f>
        <v>0</v>
      </c>
      <c r="R55" s="645">
        <f t="shared" ca="1" si="3"/>
        <v>0</v>
      </c>
    </row>
    <row r="56" spans="1:18" ht="13.8" thickBot="1">
      <c r="A56" s="638" t="str">
        <f>Gebaeude!B63</f>
        <v>OG 3</v>
      </c>
      <c r="B56" s="842" t="s">
        <v>354</v>
      </c>
      <c r="C56" s="638"/>
      <c r="D56" s="638"/>
      <c r="E56" s="527"/>
      <c r="F56" s="645">
        <f ca="1">Text_als_Formel(G56)</f>
        <v>0</v>
      </c>
      <c r="G56" s="660"/>
      <c r="H56" s="656"/>
      <c r="I56" s="657"/>
      <c r="J56" s="721"/>
      <c r="K56" s="721"/>
      <c r="L56" s="649" t="str">
        <f t="shared" si="2"/>
        <v>OG 3</v>
      </c>
      <c r="M56" s="650"/>
      <c r="N56" s="645">
        <f>IF($M56&gt;0,VLOOKUP($M56,Bauteile!$B:$J,N$9,FALSE),0)</f>
        <v>0</v>
      </c>
      <c r="O56" s="645">
        <f>IF($M56&gt;0,VLOOKUP($M56,Bauteile!$B:$J,O$9,FALSE),0)</f>
        <v>0</v>
      </c>
      <c r="P56" s="645">
        <f>IF($M56&gt;0,VLOOKUP($M56,Bauteile!$B:$J,P$9,FALSE),0)</f>
        <v>0</v>
      </c>
      <c r="Q56" s="645">
        <f>IF($M56&gt;0,VLOOKUP($M56,Bauteile!$B:$J,Q$9,FALSE),0)</f>
        <v>0</v>
      </c>
      <c r="R56" s="645">
        <f t="shared" ca="1" si="3"/>
        <v>0</v>
      </c>
    </row>
    <row r="57" spans="1:18" ht="13.8" thickBot="1">
      <c r="A57" s="638"/>
      <c r="B57" s="638"/>
      <c r="C57" s="638"/>
      <c r="D57" s="638"/>
      <c r="E57" s="527"/>
      <c r="F57" s="645"/>
      <c r="G57" s="662"/>
      <c r="H57" s="663"/>
      <c r="I57" s="664"/>
      <c r="J57" s="664"/>
      <c r="K57" s="664"/>
      <c r="L57" s="649"/>
      <c r="M57" s="661"/>
      <c r="N57" s="645"/>
      <c r="O57" s="645"/>
      <c r="P57" s="645"/>
      <c r="Q57" s="645"/>
      <c r="R57" s="645"/>
    </row>
    <row r="58" spans="1:18" ht="13.8" thickBot="1">
      <c r="A58" s="637" t="str">
        <f>Gebaeude!B65</f>
        <v>2.1.7 Wände und Decken zu Abseiten (Drempel)</v>
      </c>
      <c r="B58" s="638"/>
      <c r="C58" s="638"/>
      <c r="D58" s="638"/>
      <c r="E58" s="527"/>
      <c r="F58" s="666"/>
      <c r="G58" s="667"/>
      <c r="H58" s="668"/>
      <c r="I58" s="1"/>
      <c r="J58" s="122">
        <f>ROW(A59)</f>
        <v>59</v>
      </c>
      <c r="K58" s="122">
        <f>ROW(A61)</f>
        <v>61</v>
      </c>
      <c r="L58" s="649" t="str">
        <f t="shared" si="2"/>
        <v>2.1.7 Wände und Decken zu Abseiten (Drempel)</v>
      </c>
      <c r="M58" s="638"/>
      <c r="N58" s="645"/>
      <c r="O58" s="645"/>
      <c r="P58" s="645"/>
      <c r="Q58" s="645"/>
      <c r="R58" s="645"/>
    </row>
    <row r="59" spans="1:18" ht="13.8" thickBot="1">
      <c r="A59" s="638" t="str">
        <f>Gebaeude!B66</f>
        <v>AbW 1</v>
      </c>
      <c r="B59" s="842" t="s">
        <v>2496</v>
      </c>
      <c r="C59" s="638"/>
      <c r="D59" s="638"/>
      <c r="E59" s="527"/>
      <c r="F59" s="645">
        <f ca="1">Text_als_Formel(G59)</f>
        <v>0</v>
      </c>
      <c r="G59" s="652"/>
      <c r="H59" s="647"/>
      <c r="I59" s="648"/>
      <c r="J59" s="648"/>
      <c r="K59" s="648"/>
      <c r="L59" s="649" t="str">
        <f t="shared" si="2"/>
        <v>AbW 1</v>
      </c>
      <c r="M59" s="650"/>
      <c r="N59" s="645">
        <f>IF($M59&gt;0,VLOOKUP($M59,Bauteile!$B:$J,N$9,FALSE),0)</f>
        <v>0</v>
      </c>
      <c r="O59" s="645">
        <f>IF($M59&gt;0,VLOOKUP($M59,Bauteile!$B:$J,O$9,FALSE),0)</f>
        <v>0</v>
      </c>
      <c r="P59" s="645">
        <f>IF($M59&gt;0,VLOOKUP($M59,Bauteile!$B:$J,P$9,FALSE),0)</f>
        <v>0</v>
      </c>
      <c r="Q59" s="645">
        <f>IF($M59&gt;0,VLOOKUP($M59,Bauteile!$B:$J,Q$9,FALSE),0)</f>
        <v>0</v>
      </c>
      <c r="R59" s="645">
        <f t="shared" ca="1" si="3"/>
        <v>0</v>
      </c>
    </row>
    <row r="60" spans="1:18" ht="13.8" thickBot="1">
      <c r="A60" s="638" t="str">
        <f>Gebaeude!B67</f>
        <v>AbW 2</v>
      </c>
      <c r="B60" s="842" t="s">
        <v>2496</v>
      </c>
      <c r="C60" s="638"/>
      <c r="D60" s="638"/>
      <c r="E60" s="527"/>
      <c r="F60" s="645">
        <f ca="1">Text_als_Formel(G60)</f>
        <v>0</v>
      </c>
      <c r="G60" s="652"/>
      <c r="H60" s="653"/>
      <c r="I60" s="654"/>
      <c r="J60" s="648"/>
      <c r="K60" s="648"/>
      <c r="L60" s="649" t="str">
        <f t="shared" si="2"/>
        <v>AbW 2</v>
      </c>
      <c r="M60" s="650"/>
      <c r="N60" s="645">
        <f>IF($M60&gt;0,VLOOKUP($M60,Bauteile!$B:$J,N$9,FALSE),0)</f>
        <v>0</v>
      </c>
      <c r="O60" s="645">
        <f>IF($M60&gt;0,VLOOKUP($M60,Bauteile!$B:$J,O$9,FALSE),0)</f>
        <v>0</v>
      </c>
      <c r="P60" s="645">
        <f>IF($M60&gt;0,VLOOKUP($M60,Bauteile!$B:$J,P$9,FALSE),0)</f>
        <v>0</v>
      </c>
      <c r="Q60" s="645">
        <f>IF($M60&gt;0,VLOOKUP($M60,Bauteile!$B:$J,Q$9,FALSE),0)</f>
        <v>0</v>
      </c>
      <c r="R60" s="645">
        <f t="shared" ca="1" si="3"/>
        <v>0</v>
      </c>
    </row>
    <row r="61" spans="1:18" ht="13.8" thickBot="1">
      <c r="A61" s="638" t="str">
        <f>Gebaeude!B68</f>
        <v>AbW 3</v>
      </c>
      <c r="B61" s="842" t="s">
        <v>2496</v>
      </c>
      <c r="C61" s="638"/>
      <c r="D61" s="638"/>
      <c r="E61" s="527"/>
      <c r="F61" s="645">
        <f ca="1">Text_als_Formel(G61)</f>
        <v>0</v>
      </c>
      <c r="G61" s="660"/>
      <c r="H61" s="656"/>
      <c r="I61" s="657"/>
      <c r="J61" s="721"/>
      <c r="K61" s="721"/>
      <c r="L61" s="649" t="str">
        <f t="shared" si="2"/>
        <v>AbW 3</v>
      </c>
      <c r="M61" s="650"/>
      <c r="N61" s="645">
        <f>IF($M61&gt;0,VLOOKUP($M61,Bauteile!$B:$J,N$9,FALSE),0)</f>
        <v>0</v>
      </c>
      <c r="O61" s="645">
        <f>IF($M61&gt;0,VLOOKUP($M61,Bauteile!$B:$J,O$9,FALSE),0)</f>
        <v>0</v>
      </c>
      <c r="P61" s="645">
        <f>IF($M61&gt;0,VLOOKUP($M61,Bauteile!$B:$J,P$9,FALSE),0)</f>
        <v>0</v>
      </c>
      <c r="Q61" s="645">
        <f>IF($M61&gt;0,VLOOKUP($M61,Bauteile!$B:$J,Q$9,FALSE),0)</f>
        <v>0</v>
      </c>
      <c r="R61" s="645">
        <f t="shared" ca="1" si="3"/>
        <v>0</v>
      </c>
    </row>
    <row r="62" spans="1:18" ht="49.2">
      <c r="A62" s="674" t="s">
        <v>9</v>
      </c>
      <c r="B62" s="675" t="s">
        <v>1738</v>
      </c>
      <c r="C62" s="675" t="s">
        <v>1103</v>
      </c>
      <c r="D62" s="675" t="s">
        <v>75</v>
      </c>
      <c r="E62" s="675" t="s">
        <v>1737</v>
      </c>
      <c r="F62" s="675" t="s">
        <v>1102</v>
      </c>
      <c r="G62" s="676" t="s">
        <v>1104</v>
      </c>
      <c r="H62" s="671" t="s">
        <v>1720</v>
      </c>
      <c r="I62" s="684"/>
      <c r="J62" s="722"/>
      <c r="K62" s="722"/>
      <c r="L62" s="674" t="s">
        <v>9</v>
      </c>
      <c r="M62" s="675" t="s">
        <v>1101</v>
      </c>
      <c r="N62" s="717" t="s">
        <v>953</v>
      </c>
      <c r="O62" s="717" t="s">
        <v>2490</v>
      </c>
      <c r="P62" s="718" t="s">
        <v>2489</v>
      </c>
      <c r="Q62" s="718" t="s">
        <v>2488</v>
      </c>
      <c r="R62" s="719" t="s">
        <v>1102</v>
      </c>
    </row>
    <row r="63" spans="1:18" s="18" customFormat="1" ht="13.8" thickBot="1">
      <c r="A63" s="637" t="str">
        <f>Gebaeude!B70</f>
        <v>2.1.8 Wände, Türen und Decken zu unbeheizten Räumen (angrenzende Bauteile)</v>
      </c>
      <c r="B63" s="638"/>
      <c r="C63" s="638"/>
      <c r="D63" s="638"/>
      <c r="F63" s="683"/>
      <c r="G63" s="667"/>
      <c r="H63" s="668"/>
      <c r="I63" s="1"/>
      <c r="J63" s="122">
        <f>ROW(A64)</f>
        <v>64</v>
      </c>
      <c r="K63" s="122">
        <f>ROW(A69)</f>
        <v>69</v>
      </c>
      <c r="L63" s="649" t="str">
        <f>A63</f>
        <v>2.1.8 Wände, Türen und Decken zu unbeheizten Räumen (angrenzende Bauteile)</v>
      </c>
      <c r="M63" s="638"/>
      <c r="N63" s="645"/>
      <c r="O63" s="645"/>
      <c r="P63" s="645"/>
      <c r="Q63" s="645"/>
      <c r="R63" s="677" t="s">
        <v>1785</v>
      </c>
    </row>
    <row r="64" spans="1:18" s="18" customFormat="1" ht="13.8" thickBot="1">
      <c r="A64" s="638" t="str">
        <f>Gebaeude!B71</f>
        <v>AB 1</v>
      </c>
      <c r="B64" s="842" t="s">
        <v>2497</v>
      </c>
      <c r="C64" s="638"/>
      <c r="D64" s="638"/>
      <c r="F64" s="645">
        <f ca="1">Text_als_Formel(G64)</f>
        <v>0</v>
      </c>
      <c r="G64" s="652"/>
      <c r="H64" s="647"/>
      <c r="I64" s="648"/>
      <c r="J64" s="648"/>
      <c r="K64" s="648"/>
      <c r="L64" s="649" t="str">
        <f t="shared" si="2"/>
        <v>AB 1</v>
      </c>
      <c r="M64" s="650"/>
      <c r="N64" s="645">
        <f>IF($M64&gt;0,VLOOKUP($M64,Bauteile!$B:$J,N$9,FALSE),0)</f>
        <v>0</v>
      </c>
      <c r="O64" s="645">
        <f>IF($M64&gt;0,VLOOKUP($M64,Bauteile!$B:$J,O$9,FALSE),0)</f>
        <v>0</v>
      </c>
      <c r="P64" s="645">
        <f>IF($M64&gt;0,VLOOKUP($M64,Bauteile!$B:$J,P$9,FALSE),0)</f>
        <v>0</v>
      </c>
      <c r="Q64" s="645">
        <f>IF($M64&gt;0,VLOOKUP($M64,Bauteile!$B:$J,Q$9,FALSE),0)</f>
        <v>0</v>
      </c>
      <c r="R64" s="645">
        <f t="shared" ca="1" si="3"/>
        <v>0</v>
      </c>
    </row>
    <row r="65" spans="1:18" s="18" customFormat="1" ht="13.8" thickBot="1">
      <c r="A65" s="638" t="str">
        <f>Gebaeude!B72</f>
        <v>AB 2</v>
      </c>
      <c r="B65" s="842" t="s">
        <v>2497</v>
      </c>
      <c r="C65" s="638"/>
      <c r="D65" s="638"/>
      <c r="F65" s="645">
        <f ca="1">Text_als_Formel(G65)</f>
        <v>0</v>
      </c>
      <c r="G65" s="652"/>
      <c r="H65" s="653"/>
      <c r="I65" s="654"/>
      <c r="J65" s="648"/>
      <c r="K65" s="648"/>
      <c r="L65" s="649" t="str">
        <f t="shared" si="2"/>
        <v>AB 2</v>
      </c>
      <c r="M65" s="650"/>
      <c r="N65" s="645">
        <f>IF($M65&gt;0,VLOOKUP($M65,Bauteile!$B:$J,N$9,FALSE),0)</f>
        <v>0</v>
      </c>
      <c r="O65" s="645">
        <f>IF($M65&gt;0,VLOOKUP($M65,Bauteile!$B:$J,O$9,FALSE),0)</f>
        <v>0</v>
      </c>
      <c r="P65" s="645">
        <f>IF($M65&gt;0,VLOOKUP($M65,Bauteile!$B:$J,P$9,FALSE),0)</f>
        <v>0</v>
      </c>
      <c r="Q65" s="645">
        <f>IF($M65&gt;0,VLOOKUP($M65,Bauteile!$B:$J,Q$9,FALSE),0)</f>
        <v>0</v>
      </c>
      <c r="R65" s="645">
        <f t="shared" ca="1" si="3"/>
        <v>0</v>
      </c>
    </row>
    <row r="66" spans="1:18" s="18" customFormat="1" ht="13.8" thickBot="1">
      <c r="A66" s="638" t="str">
        <f>Gebaeude!B73</f>
        <v>AB 3</v>
      </c>
      <c r="B66" s="842" t="s">
        <v>2497</v>
      </c>
      <c r="C66" s="638"/>
      <c r="D66" s="638"/>
      <c r="F66" s="645">
        <f ca="1">Text_als_Formel(G66)</f>
        <v>0</v>
      </c>
      <c r="G66" s="652"/>
      <c r="H66" s="653"/>
      <c r="I66" s="654"/>
      <c r="J66" s="648"/>
      <c r="K66" s="648"/>
      <c r="L66" s="649" t="str">
        <f t="shared" si="2"/>
        <v>AB 3</v>
      </c>
      <c r="M66" s="650"/>
      <c r="N66" s="645">
        <f>IF($M66&gt;0,VLOOKUP($M66,Bauteile!$B:$J,N$9,FALSE),0)</f>
        <v>0</v>
      </c>
      <c r="O66" s="645">
        <f>IF($M66&gt;0,VLOOKUP($M66,Bauteile!$B:$J,O$9,FALSE),0)</f>
        <v>0</v>
      </c>
      <c r="P66" s="645">
        <f>IF($M66&gt;0,VLOOKUP($M66,Bauteile!$B:$J,P$9,FALSE),0)</f>
        <v>0</v>
      </c>
      <c r="Q66" s="645">
        <f>IF($M66&gt;0,VLOOKUP($M66,Bauteile!$B:$J,Q$9,FALSE),0)</f>
        <v>0</v>
      </c>
      <c r="R66" s="645">
        <f t="shared" ca="1" si="3"/>
        <v>0</v>
      </c>
    </row>
    <row r="67" spans="1:18" s="18" customFormat="1" ht="13.8" thickBot="1">
      <c r="A67" s="638" t="str">
        <f>Gebaeude!B74</f>
        <v>AB 4</v>
      </c>
      <c r="B67" s="842" t="s">
        <v>2497</v>
      </c>
      <c r="C67" s="638"/>
      <c r="D67" s="638"/>
      <c r="F67" s="645">
        <f ca="1">Text_als_Formel(G67)</f>
        <v>0</v>
      </c>
      <c r="G67" s="652"/>
      <c r="H67" s="653"/>
      <c r="I67" s="654"/>
      <c r="J67" s="648"/>
      <c r="K67" s="648"/>
      <c r="L67" s="649" t="str">
        <f t="shared" si="2"/>
        <v>AB 4</v>
      </c>
      <c r="M67" s="650"/>
      <c r="N67" s="645">
        <f>IF($M67&gt;0,VLOOKUP($M67,Bauteile!$B:$J,N$9,FALSE),0)</f>
        <v>0</v>
      </c>
      <c r="O67" s="645">
        <f>IF($M67&gt;0,VLOOKUP($M67,Bauteile!$B:$J,O$9,FALSE),0)</f>
        <v>0</v>
      </c>
      <c r="P67" s="645">
        <f>IF($M67&gt;0,VLOOKUP($M67,Bauteile!$B:$J,P$9,FALSE),0)</f>
        <v>0</v>
      </c>
      <c r="Q67" s="645">
        <f>IF($M67&gt;0,VLOOKUP($M67,Bauteile!$B:$J,Q$9,FALSE),0)</f>
        <v>0</v>
      </c>
      <c r="R67" s="645">
        <f t="shared" ca="1" si="3"/>
        <v>0</v>
      </c>
    </row>
    <row r="68" spans="1:18" s="18" customFormat="1" ht="13.8" thickBot="1">
      <c r="A68" s="638" t="str">
        <f>Gebaeude!B75</f>
        <v>AB 5</v>
      </c>
      <c r="B68" s="842" t="s">
        <v>2497</v>
      </c>
      <c r="C68" s="638"/>
      <c r="D68" s="638"/>
      <c r="F68" s="645">
        <f ca="1">Text_als_Formel(G68)</f>
        <v>0</v>
      </c>
      <c r="G68" s="660"/>
      <c r="H68" s="656"/>
      <c r="I68" s="657"/>
      <c r="J68" s="721"/>
      <c r="K68" s="721"/>
      <c r="L68" s="649" t="str">
        <f t="shared" si="2"/>
        <v>AB 5</v>
      </c>
      <c r="M68" s="650"/>
      <c r="N68" s="645">
        <f>IF($M68&gt;0,VLOOKUP($M68,Bauteile!$B:$J,N$9,FALSE),0)</f>
        <v>0</v>
      </c>
      <c r="O68" s="645">
        <f>IF($M68&gt;0,VLOOKUP($M68,Bauteile!$B:$J,O$9,FALSE),0)</f>
        <v>0</v>
      </c>
      <c r="P68" s="645">
        <f>IF($M68&gt;0,VLOOKUP($M68,Bauteile!$B:$J,P$9,FALSE),0)</f>
        <v>0</v>
      </c>
      <c r="Q68" s="645">
        <f>IF($M68&gt;0,VLOOKUP($M68,Bauteile!$B:$J,Q$9,FALSE),0)</f>
        <v>0</v>
      </c>
      <c r="R68" s="645">
        <f t="shared" ca="1" si="3"/>
        <v>0</v>
      </c>
    </row>
    <row r="69" spans="1:18" s="18" customFormat="1" ht="13.8" thickBot="1">
      <c r="A69" s="638"/>
      <c r="B69" s="638"/>
      <c r="C69" s="638"/>
      <c r="D69" s="638"/>
      <c r="F69" s="645"/>
      <c r="G69" s="662"/>
      <c r="H69" s="663"/>
      <c r="I69" s="664"/>
      <c r="J69" s="664"/>
      <c r="K69" s="664"/>
      <c r="L69" s="649"/>
      <c r="M69" s="661"/>
      <c r="N69" s="645"/>
      <c r="O69" s="645"/>
      <c r="P69" s="645"/>
      <c r="Q69" s="645"/>
      <c r="R69" s="645"/>
    </row>
    <row r="70" spans="1:18" s="18" customFormat="1" ht="13.8" thickBot="1">
      <c r="A70" s="685" t="str">
        <f>Gebaeude!B78</f>
        <v xml:space="preserve">2.1.9 Kellerdecke/-innenwand zum unbeheizten Keller, Fußboden auf Erdreich, </v>
      </c>
      <c r="B70" s="685"/>
      <c r="C70" s="638"/>
      <c r="D70" s="638"/>
      <c r="E70" s="638"/>
      <c r="F70" s="677"/>
      <c r="G70" s="667"/>
      <c r="H70" s="668"/>
      <c r="I70" s="1"/>
      <c r="J70" s="122">
        <f>ROW(A72)</f>
        <v>72</v>
      </c>
      <c r="K70" s="122">
        <f>ROW(A80)</f>
        <v>80</v>
      </c>
      <c r="L70" s="649" t="str">
        <f t="shared" si="2"/>
        <v xml:space="preserve">2.1.9 Kellerdecke/-innenwand zum unbeheizten Keller, Fußboden auf Erdreich, </v>
      </c>
      <c r="M70" s="638"/>
      <c r="N70" s="645"/>
      <c r="O70" s="645"/>
      <c r="P70" s="645"/>
      <c r="Q70" s="645"/>
      <c r="R70" s="645"/>
    </row>
    <row r="71" spans="1:18" s="18" customFormat="1" ht="13.8" thickBot="1">
      <c r="A71" s="685" t="str">
        <f>Gebaeude!B79</f>
        <v xml:space="preserve">        Flächen des beheizten Kellers gegen Erdreich, aufgeständerter Fußboden</v>
      </c>
      <c r="B71" s="685"/>
      <c r="C71" s="638"/>
      <c r="D71" s="638"/>
      <c r="E71" s="638"/>
      <c r="F71" s="677"/>
      <c r="G71" s="667"/>
      <c r="H71" s="668"/>
      <c r="I71" s="638"/>
      <c r="J71" s="638"/>
      <c r="K71" s="638"/>
      <c r="L71" s="649" t="str">
        <f t="shared" si="2"/>
        <v xml:space="preserve">        Flächen des beheizten Kellers gegen Erdreich, aufgeständerter Fußboden</v>
      </c>
      <c r="M71" s="638"/>
      <c r="N71" s="645"/>
      <c r="O71" s="645"/>
      <c r="P71" s="645"/>
      <c r="Q71" s="645"/>
      <c r="R71" s="645"/>
    </row>
    <row r="72" spans="1:18" s="18" customFormat="1" ht="13.8" thickBot="1">
      <c r="A72" s="686" t="str">
        <f>Gebaeude!B80</f>
        <v>Bodengrundfläche AG [m²]</v>
      </c>
      <c r="B72" s="638"/>
      <c r="C72" s="638"/>
      <c r="D72" s="638"/>
      <c r="E72" s="638"/>
      <c r="F72" s="645">
        <f ca="1">Text_als_Formel(G72)</f>
        <v>81.418099999999995</v>
      </c>
      <c r="G72" s="646" t="s">
        <v>2423</v>
      </c>
      <c r="H72" s="647"/>
      <c r="I72" s="648"/>
      <c r="J72" s="648"/>
      <c r="K72" s="648"/>
      <c r="L72" s="649" t="str">
        <f t="shared" si="2"/>
        <v>Bodengrundfläche AG [m²]</v>
      </c>
      <c r="M72" s="649"/>
      <c r="N72" s="645" t="str">
        <f>IF($M72&gt;0,VLOOKUP($M72,Bauteile!$B:$J,N$9,FALSE),"")</f>
        <v/>
      </c>
      <c r="O72" s="645" t="str">
        <f>IF($M72&gt;0,VLOOKUP($M72,Bauteile!$B:$J,O$9,FALSE),"")</f>
        <v/>
      </c>
      <c r="P72" s="645" t="str">
        <f>IF($M72&gt;0,VLOOKUP($M72,Bauteile!$B:$J,P$9,FALSE),"")</f>
        <v/>
      </c>
      <c r="Q72" s="645" t="str">
        <f>IF($M72&gt;0,VLOOKUP($M72,Bauteile!$B:$J,Q$9,FALSE),"")</f>
        <v/>
      </c>
      <c r="R72" s="645">
        <f t="shared" ca="1" si="3"/>
        <v>81.418099999999995</v>
      </c>
    </row>
    <row r="73" spans="1:18" s="18" customFormat="1" ht="13.8" thickBot="1">
      <c r="A73" s="686" t="str">
        <f>Gebaeude!B81</f>
        <v>Umfang Bodengrundfläche P [m]</v>
      </c>
      <c r="B73" s="638"/>
      <c r="C73" s="638"/>
      <c r="D73" s="638"/>
      <c r="E73" s="638"/>
      <c r="F73" s="645">
        <f ca="1">Text_als_Formel(G73)</f>
        <v>36.36</v>
      </c>
      <c r="G73" s="652" t="s">
        <v>1112</v>
      </c>
      <c r="H73" s="653"/>
      <c r="I73" s="654"/>
      <c r="J73" s="648"/>
      <c r="K73" s="648"/>
      <c r="L73" s="649" t="str">
        <f t="shared" si="2"/>
        <v>Umfang Bodengrundfläche P [m]</v>
      </c>
      <c r="M73" s="687"/>
      <c r="N73" s="645" t="str">
        <f>IF($M73&gt;0,VLOOKUP($M73,Bauteile!$B:$J,N$9,FALSE),"")</f>
        <v/>
      </c>
      <c r="O73" s="645" t="str">
        <f>IF($M73&gt;0,VLOOKUP($M73,Bauteile!$B:$J,O$9,FALSE),"")</f>
        <v/>
      </c>
      <c r="P73" s="645" t="str">
        <f>IF($M73&gt;0,VLOOKUP($M73,Bauteile!$B:$J,P$9,FALSE),"")</f>
        <v/>
      </c>
      <c r="Q73" s="645" t="str">
        <f>IF($M73&gt;0,VLOOKUP($M73,Bauteile!$B:$J,Q$9,FALSE),"")</f>
        <v/>
      </c>
      <c r="R73" s="645">
        <f t="shared" ca="1" si="3"/>
        <v>36.36</v>
      </c>
    </row>
    <row r="74" spans="1:18" s="18" customFormat="1" ht="6.75" customHeight="1" thickBot="1">
      <c r="A74" s="686"/>
      <c r="B74" s="686"/>
      <c r="C74" s="686"/>
      <c r="D74" s="686"/>
      <c r="E74" s="686"/>
      <c r="F74" s="686"/>
      <c r="G74" s="686"/>
      <c r="H74" s="686"/>
      <c r="I74" s="686"/>
      <c r="J74" s="686"/>
      <c r="K74" s="686"/>
      <c r="L74" s="686"/>
      <c r="M74" s="686"/>
      <c r="N74" s="686"/>
      <c r="O74" s="686"/>
      <c r="P74" s="686"/>
      <c r="Q74" s="686"/>
      <c r="R74" s="686"/>
    </row>
    <row r="75" spans="1:18" s="18" customFormat="1" ht="13.8" thickBot="1">
      <c r="A75" s="638" t="str">
        <f>Gebaeude!B83</f>
        <v>G 1</v>
      </c>
      <c r="B75" s="644" t="s">
        <v>39</v>
      </c>
      <c r="C75" s="644"/>
      <c r="D75" s="644"/>
      <c r="E75" s="644"/>
      <c r="F75" s="645">
        <f ca="1">Text_als_Formel(G75)-SUMIF($D$82:$D$83,$A75,$F$82:$F$83)</f>
        <v>81.418099999999995</v>
      </c>
      <c r="G75" s="652" t="s">
        <v>2423</v>
      </c>
      <c r="H75" s="653"/>
      <c r="I75" s="654"/>
      <c r="J75" s="648"/>
      <c r="K75" s="648"/>
      <c r="L75" s="649" t="str">
        <f t="shared" si="2"/>
        <v>G 1</v>
      </c>
      <c r="M75" s="650" t="s">
        <v>2523</v>
      </c>
      <c r="N75" s="645">
        <f ca="1">IF($M75&gt;0,VLOOKUP($M75,Bauteile!$B:$J,N$9,FALSE),0)</f>
        <v>0.28001460945788481</v>
      </c>
      <c r="O75" s="645">
        <f>IF($M75&gt;0,VLOOKUP($M75,Bauteile!$B:$J,O$9,FALSE),0)</f>
        <v>0.5</v>
      </c>
      <c r="P75" s="645">
        <f>IF($M75&gt;0,VLOOKUP($M75,Bauteile!$B:$J,P$9,FALSE),0)</f>
        <v>0</v>
      </c>
      <c r="Q75" s="645">
        <f>IF($M75&gt;0,VLOOKUP($M75,Bauteile!$B:$J,Q$9,FALSE),0)</f>
        <v>0</v>
      </c>
      <c r="R75" s="645">
        <f t="shared" ca="1" si="3"/>
        <v>81.418099999999995</v>
      </c>
    </row>
    <row r="76" spans="1:18" s="18" customFormat="1" ht="13.8" thickBot="1">
      <c r="A76" s="638" t="str">
        <f>Gebaeude!B84</f>
        <v>G 2</v>
      </c>
      <c r="B76" s="644" t="s">
        <v>40</v>
      </c>
      <c r="C76" s="644"/>
      <c r="D76" s="644"/>
      <c r="E76" s="644"/>
      <c r="F76" s="645">
        <f ca="1">Text_als_Formel(G76)-SUMIF($D$82:$D$83,$A76,$F$82:$F$83)</f>
        <v>96.762799999999999</v>
      </c>
      <c r="G76" s="652" t="s">
        <v>2424</v>
      </c>
      <c r="H76" s="653"/>
      <c r="I76" s="654"/>
      <c r="J76" s="648"/>
      <c r="K76" s="648"/>
      <c r="L76" s="649" t="str">
        <f t="shared" si="2"/>
        <v>G 2</v>
      </c>
      <c r="M76" s="650" t="s">
        <v>2520</v>
      </c>
      <c r="N76" s="645">
        <f ca="1">IF($M76&gt;0,VLOOKUP($M76,Bauteile!$B:$J,N$9,FALSE),0)</f>
        <v>0.26088965564926453</v>
      </c>
      <c r="O76" s="645">
        <f>IF($M76&gt;0,VLOOKUP($M76,Bauteile!$B:$J,O$9,FALSE),0)</f>
        <v>0.5</v>
      </c>
      <c r="P76" s="645">
        <f>IF($M76&gt;0,VLOOKUP($M76,Bauteile!$B:$J,P$9,FALSE),0)</f>
        <v>0</v>
      </c>
      <c r="Q76" s="645">
        <f>IF($M76&gt;0,VLOOKUP($M76,Bauteile!$B:$J,Q$9,FALSE),0)</f>
        <v>0</v>
      </c>
      <c r="R76" s="645">
        <f t="shared" ca="1" si="3"/>
        <v>96.762799999999999</v>
      </c>
    </row>
    <row r="77" spans="1:18" s="18" customFormat="1" ht="13.8" thickBot="1">
      <c r="A77" s="638" t="str">
        <f>Gebaeude!B85</f>
        <v>G 3</v>
      </c>
      <c r="B77" s="644"/>
      <c r="C77" s="644"/>
      <c r="D77" s="644"/>
      <c r="E77" s="644"/>
      <c r="F77" s="645">
        <f ca="1">Text_als_Formel(G77)-SUMIF($D$82:$D$83,$A77,$F$82:$F$83)</f>
        <v>0</v>
      </c>
      <c r="G77" s="652"/>
      <c r="H77" s="653"/>
      <c r="I77" s="654"/>
      <c r="J77" s="648"/>
      <c r="K77" s="648"/>
      <c r="L77" s="649" t="str">
        <f t="shared" si="2"/>
        <v>G 3</v>
      </c>
      <c r="M77" s="650"/>
      <c r="N77" s="645">
        <f>IF($M77&gt;0,VLOOKUP($M77,Bauteile!$B:$J,N$9,FALSE),0)</f>
        <v>0</v>
      </c>
      <c r="O77" s="645">
        <f>IF($M77&gt;0,VLOOKUP($M77,Bauteile!$B:$J,O$9,FALSE),0)</f>
        <v>0</v>
      </c>
      <c r="P77" s="645">
        <f>IF($M77&gt;0,VLOOKUP($M77,Bauteile!$B:$J,P$9,FALSE),0)</f>
        <v>0</v>
      </c>
      <c r="Q77" s="645">
        <f>IF($M77&gt;0,VLOOKUP($M77,Bauteile!$B:$J,Q$9,FALSE),0)</f>
        <v>0</v>
      </c>
      <c r="R77" s="645">
        <f t="shared" ca="1" si="3"/>
        <v>0</v>
      </c>
    </row>
    <row r="78" spans="1:18" s="18" customFormat="1" ht="13.8" thickBot="1">
      <c r="A78" s="638" t="str">
        <f>Gebaeude!B86</f>
        <v>G 4</v>
      </c>
      <c r="B78" s="644"/>
      <c r="C78" s="644"/>
      <c r="D78" s="644"/>
      <c r="E78" s="644"/>
      <c r="F78" s="645">
        <f ca="1">Text_als_Formel(G78)-SUMIF($D$82:$D$83,$A78,$F$82:$F$83)</f>
        <v>0</v>
      </c>
      <c r="G78" s="652"/>
      <c r="H78" s="653"/>
      <c r="I78" s="654"/>
      <c r="J78" s="648"/>
      <c r="K78" s="648"/>
      <c r="L78" s="649" t="str">
        <f t="shared" si="2"/>
        <v>G 4</v>
      </c>
      <c r="M78" s="650"/>
      <c r="N78" s="645">
        <f>IF($M78&gt;0,VLOOKUP($M78,Bauteile!$B:$J,N$9,FALSE),0)</f>
        <v>0</v>
      </c>
      <c r="O78" s="645">
        <f>IF($M78&gt;0,VLOOKUP($M78,Bauteile!$B:$J,O$9,FALSE),0)</f>
        <v>0</v>
      </c>
      <c r="P78" s="645">
        <f>IF($M78&gt;0,VLOOKUP($M78,Bauteile!$B:$J,P$9,FALSE),0)</f>
        <v>0</v>
      </c>
      <c r="Q78" s="645">
        <f>IF($M78&gt;0,VLOOKUP($M78,Bauteile!$B:$J,Q$9,FALSE),0)</f>
        <v>0</v>
      </c>
      <c r="R78" s="645">
        <f t="shared" ca="1" si="3"/>
        <v>0</v>
      </c>
    </row>
    <row r="79" spans="1:18" s="18" customFormat="1" ht="13.8" thickBot="1">
      <c r="A79" s="638" t="str">
        <f>Gebaeude!B87</f>
        <v>G 5</v>
      </c>
      <c r="B79" s="644"/>
      <c r="C79" s="644"/>
      <c r="D79" s="644"/>
      <c r="E79" s="644"/>
      <c r="F79" s="645">
        <f ca="1">Text_als_Formel(G79)-SUMIF($D$82:$D$83,$A79,$F$82:$F$83)</f>
        <v>0</v>
      </c>
      <c r="G79" s="660"/>
      <c r="H79" s="653"/>
      <c r="I79" s="657"/>
      <c r="J79" s="721"/>
      <c r="K79" s="721"/>
      <c r="L79" s="649" t="str">
        <f t="shared" si="2"/>
        <v>G 5</v>
      </c>
      <c r="M79" s="650"/>
      <c r="N79" s="645">
        <f>IF($M79&gt;0,VLOOKUP($M79,Bauteile!$B:$J,N$9,FALSE),0)</f>
        <v>0</v>
      </c>
      <c r="O79" s="645">
        <f>IF($M79&gt;0,VLOOKUP($M79,Bauteile!$B:$J,O$9,FALSE),0)</f>
        <v>0</v>
      </c>
      <c r="P79" s="645">
        <f>IF($M79&gt;0,VLOOKUP($M79,Bauteile!$B:$J,P$9,FALSE),0)</f>
        <v>0</v>
      </c>
      <c r="Q79" s="645">
        <f>IF($M79&gt;0,VLOOKUP($M79,Bauteile!$B:$J,Q$9,FALSE),0)</f>
        <v>0</v>
      </c>
      <c r="R79" s="645">
        <f t="shared" ca="1" si="3"/>
        <v>0</v>
      </c>
    </row>
    <row r="80" spans="1:18" s="18" customFormat="1" ht="13.8" thickBot="1">
      <c r="A80" s="638"/>
      <c r="B80" s="697"/>
      <c r="C80" s="697"/>
      <c r="D80" s="697"/>
      <c r="E80" s="697"/>
      <c r="F80" s="645"/>
      <c r="G80" s="662"/>
      <c r="H80" s="663"/>
      <c r="I80" s="664"/>
      <c r="J80" s="664"/>
      <c r="K80" s="664"/>
      <c r="L80" s="649"/>
      <c r="M80" s="661"/>
      <c r="N80" s="645"/>
      <c r="O80" s="645"/>
      <c r="P80" s="645"/>
      <c r="Q80" s="645"/>
      <c r="R80" s="645"/>
    </row>
    <row r="81" spans="1:18" s="18" customFormat="1" ht="13.8" thickBot="1">
      <c r="A81" s="685" t="s">
        <v>2304</v>
      </c>
      <c r="B81" s="686"/>
      <c r="C81" s="686"/>
      <c r="D81" s="686"/>
      <c r="E81" s="686"/>
      <c r="F81" s="666"/>
      <c r="G81" s="141"/>
      <c r="H81" s="688"/>
      <c r="I81" s="1"/>
      <c r="J81" s="122">
        <f>ROW(A82)</f>
        <v>82</v>
      </c>
      <c r="K81" s="122">
        <f>ROW(A84)</f>
        <v>84</v>
      </c>
      <c r="L81" s="649" t="str">
        <f t="shared" si="2"/>
        <v>2.1.10 Fenster in Kellerwand (Kellerschachtfenster, Annahme Orientierung Nord)</v>
      </c>
      <c r="M81" s="638"/>
      <c r="N81" s="645"/>
      <c r="O81" s="645"/>
      <c r="P81" s="645"/>
      <c r="Q81" s="645"/>
      <c r="R81" s="645"/>
    </row>
    <row r="82" spans="1:18" s="18" customFormat="1" ht="13.8" thickBot="1">
      <c r="A82" s="638" t="str">
        <f>Gebaeude!B90</f>
        <v>W 11</v>
      </c>
      <c r="B82" s="638" t="s">
        <v>12</v>
      </c>
      <c r="C82" s="686"/>
      <c r="D82" s="689" t="s">
        <v>110</v>
      </c>
      <c r="E82" s="686"/>
      <c r="F82" s="645">
        <f ca="1">Text_als_Formel(G82)</f>
        <v>2.5</v>
      </c>
      <c r="G82" s="690" t="s">
        <v>1880</v>
      </c>
      <c r="H82" s="691" t="s">
        <v>1879</v>
      </c>
      <c r="I82" s="692"/>
      <c r="J82" s="692"/>
      <c r="K82" s="692"/>
      <c r="L82" s="649" t="str">
        <f t="shared" si="2"/>
        <v>W 11</v>
      </c>
      <c r="M82" s="650" t="s">
        <v>1735</v>
      </c>
      <c r="N82" s="645">
        <f>IF($M82&gt;0,VLOOKUP($M82,Bauteile!$B:$J,N$9,FALSE),0)</f>
        <v>0.9</v>
      </c>
      <c r="O82" s="645">
        <f>IF($M82&gt;0,VLOOKUP($M82,Bauteile!$B:$J,O$9,FALSE),0)</f>
        <v>0.53</v>
      </c>
      <c r="P82" s="645">
        <f>IF($M82&gt;0,VLOOKUP($M82,Bauteile!$B:$J,P$9,FALSE),0)</f>
        <v>0.9</v>
      </c>
      <c r="Q82" s="645">
        <f>IF($M82&gt;0,VLOOKUP($M82,Bauteile!$B:$J,Q$9,FALSE),0)</f>
        <v>0.7</v>
      </c>
      <c r="R82" s="645">
        <f t="shared" ca="1" si="3"/>
        <v>2.5</v>
      </c>
    </row>
    <row r="83" spans="1:18" s="18" customFormat="1" ht="13.8" thickBot="1">
      <c r="A83" s="638" t="str">
        <f>Gebaeude!B91</f>
        <v>W 12</v>
      </c>
      <c r="B83" s="638" t="s">
        <v>12</v>
      </c>
      <c r="C83" s="686"/>
      <c r="D83" s="693"/>
      <c r="E83" s="686"/>
      <c r="F83" s="645">
        <f ca="1">Text_als_Formel(G83)</f>
        <v>0</v>
      </c>
      <c r="G83" s="694"/>
      <c r="H83" s="695"/>
      <c r="I83" s="696"/>
      <c r="J83" s="723"/>
      <c r="K83" s="723"/>
      <c r="L83" s="649" t="str">
        <f t="shared" si="2"/>
        <v>W 12</v>
      </c>
      <c r="M83" s="650"/>
      <c r="N83" s="645">
        <f>IF($M83&gt;0,VLOOKUP($M83,Bauteile!$B:$J,N$9,FALSE),0)</f>
        <v>0</v>
      </c>
      <c r="O83" s="645">
        <f>IF($M83&gt;0,VLOOKUP($M83,Bauteile!$B:$J,O$9,FALSE),0)</f>
        <v>0</v>
      </c>
      <c r="P83" s="645">
        <f>IF($M83&gt;0,VLOOKUP($M83,Bauteile!$B:$J,P$9,FALSE),0)</f>
        <v>0</v>
      </c>
      <c r="Q83" s="645">
        <f>IF($M83&gt;0,VLOOKUP($M83,Bauteile!$B:$J,Q$9,FALSE),0)</f>
        <v>0</v>
      </c>
      <c r="R83" s="645">
        <f t="shared" ca="1" si="3"/>
        <v>0</v>
      </c>
    </row>
    <row r="84" spans="1:18" s="18" customFormat="1" ht="13.8" thickBot="1">
      <c r="A84" s="638"/>
      <c r="B84" s="638"/>
      <c r="C84" s="686"/>
      <c r="D84" s="699"/>
      <c r="E84" s="686"/>
      <c r="F84" s="645"/>
      <c r="G84" s="700"/>
      <c r="H84" s="701"/>
      <c r="I84" s="698"/>
      <c r="J84" s="698"/>
      <c r="K84" s="698"/>
      <c r="L84" s="649"/>
      <c r="M84" s="661"/>
      <c r="N84" s="645"/>
      <c r="O84" s="645"/>
      <c r="P84" s="645"/>
      <c r="Q84" s="645"/>
      <c r="R84" s="645"/>
    </row>
    <row r="85" spans="1:18" s="18" customFormat="1" ht="13.8" thickBot="1">
      <c r="A85" s="637" t="str">
        <f>Gebaeude!B93</f>
        <v>2.1.11 Decken nach unten gegen Außenluft (Durchfahrten, Erker)</v>
      </c>
      <c r="B85" s="638"/>
      <c r="C85" s="638"/>
      <c r="D85" s="638"/>
      <c r="E85" s="638"/>
      <c r="F85" s="666"/>
      <c r="G85" s="667"/>
      <c r="H85" s="668"/>
      <c r="I85" s="1"/>
      <c r="J85" s="122">
        <f>ROW(A86)</f>
        <v>86</v>
      </c>
      <c r="K85" s="122">
        <f>ROW(A87)</f>
        <v>87</v>
      </c>
      <c r="L85" s="649" t="str">
        <f t="shared" si="2"/>
        <v>2.1.11 Decken nach unten gegen Außenluft (Durchfahrten, Erker)</v>
      </c>
      <c r="M85" s="638"/>
      <c r="N85" s="645"/>
      <c r="O85" s="645"/>
      <c r="P85" s="645"/>
      <c r="Q85" s="645"/>
      <c r="R85" s="645"/>
    </row>
    <row r="86" spans="1:18" s="18" customFormat="1" ht="13.8" thickBot="1">
      <c r="A86" s="638" t="str">
        <f>Gebaeude!B94</f>
        <v>AG 6</v>
      </c>
      <c r="B86" s="842" t="s">
        <v>2498</v>
      </c>
      <c r="C86" s="638"/>
      <c r="D86" s="638"/>
      <c r="E86" s="638"/>
      <c r="F86" s="645">
        <f ca="1">Text_als_Formel(G86)</f>
        <v>0</v>
      </c>
      <c r="G86" s="646"/>
      <c r="H86" s="647"/>
      <c r="I86" s="648"/>
      <c r="J86" s="648"/>
      <c r="K86" s="648"/>
      <c r="L86" s="649" t="str">
        <f>A86</f>
        <v>AG 6</v>
      </c>
      <c r="M86" s="650"/>
      <c r="N86" s="645">
        <f>IF($M86&gt;0,VLOOKUP($M86,Bauteile!$B:$J,N$9,FALSE),0)</f>
        <v>0</v>
      </c>
      <c r="O86" s="645">
        <f>IF($M86&gt;0,VLOOKUP($M86,Bauteile!$B:$J,O$9,FALSE),0)</f>
        <v>0</v>
      </c>
      <c r="P86" s="645">
        <f>IF($M86&gt;0,VLOOKUP($M86,Bauteile!$B:$J,P$9,FALSE),0)</f>
        <v>0</v>
      </c>
      <c r="Q86" s="645">
        <f>IF($M86&gt;0,VLOOKUP($M86,Bauteile!$B:$J,Q$9,FALSE),0)</f>
        <v>0</v>
      </c>
      <c r="R86" s="645">
        <f ca="1">F86</f>
        <v>0</v>
      </c>
    </row>
    <row r="87" spans="1:18" s="18" customFormat="1" ht="13.8" thickBot="1">
      <c r="A87" s="638" t="str">
        <f>Gebaeude!B95</f>
        <v>AG 7</v>
      </c>
      <c r="B87" s="842" t="s">
        <v>2498</v>
      </c>
      <c r="C87" s="638"/>
      <c r="D87" s="638"/>
      <c r="E87" s="638"/>
      <c r="F87" s="645">
        <f ca="1">Text_als_Formel(G87)</f>
        <v>0</v>
      </c>
      <c r="G87" s="660"/>
      <c r="H87" s="656"/>
      <c r="I87" s="657"/>
      <c r="J87" s="721"/>
      <c r="K87" s="721"/>
      <c r="L87" s="649" t="str">
        <f>A87</f>
        <v>AG 7</v>
      </c>
      <c r="M87" s="650"/>
      <c r="N87" s="645">
        <f>IF($M87&gt;0,VLOOKUP($M87,Bauteile!$B:$J,N$9,FALSE),0)</f>
        <v>0</v>
      </c>
      <c r="O87" s="645">
        <f>IF($M87&gt;0,VLOOKUP($M87,Bauteile!$B:$J,O$9,FALSE),0)</f>
        <v>0</v>
      </c>
      <c r="P87" s="645">
        <f>IF($M87&gt;0,VLOOKUP($M87,Bauteile!$B:$J,P$9,FALSE),0)</f>
        <v>0</v>
      </c>
      <c r="Q87" s="645">
        <f>IF($M87&gt;0,VLOOKUP($M87,Bauteile!$B:$J,Q$9,FALSE),0)</f>
        <v>0</v>
      </c>
      <c r="R87" s="645">
        <f ca="1">F87</f>
        <v>0</v>
      </c>
    </row>
    <row r="88" spans="1:18" s="18" customFormat="1" ht="13.2">
      <c r="A88" s="33"/>
      <c r="B88" s="33"/>
      <c r="C88" s="33"/>
      <c r="D88" s="33"/>
      <c r="E88" s="33"/>
      <c r="F88" s="33"/>
      <c r="G88" s="33"/>
      <c r="H88" s="33"/>
      <c r="I88" s="33"/>
      <c r="J88" s="33"/>
      <c r="K88" s="33"/>
      <c r="L88" s="33"/>
      <c r="M88" s="33"/>
      <c r="N88" s="528"/>
      <c r="O88" s="528"/>
      <c r="P88" s="528"/>
      <c r="Q88" s="527"/>
      <c r="R88" s="527"/>
    </row>
    <row r="90" spans="1:18">
      <c r="A90" s="183"/>
    </row>
    <row r="91" spans="1:18">
      <c r="M91" s="185"/>
    </row>
  </sheetData>
  <sheetProtection algorithmName="SHA-512" hashValue="gQNOGVXY2ZlNan+N4aLioLTPrMyBmwC/2ffblPLwp4zetj/UuAgVI/+kf+ZO2aMBLGpsLRCULK+R4aZRTNSH2g==" saltValue="CNOjJYvQfLK1LgnGGfcdbA==" spinCount="100000" sheet="1" objects="1" scenarios="1"/>
  <phoneticPr fontId="195" type="noConversion"/>
  <dataValidations count="9">
    <dataValidation type="list" allowBlank="1" showInputMessage="1" showErrorMessage="1" sqref="D82:D84" xr:uid="{00000000-0002-0000-0400-000000000000}">
      <formula1>$A$75:$A$79</formula1>
    </dataValidation>
    <dataValidation type="list" allowBlank="1" showInputMessage="1" showErrorMessage="1" sqref="D48:D52" xr:uid="{00000000-0002-0000-0400-000001000000}">
      <formula1>$A$38:$A$45</formula1>
    </dataValidation>
    <dataValidation type="list" allowBlank="1" showInputMessage="1" showErrorMessage="1" sqref="D26:D32 D34:D35" xr:uid="{00000000-0002-0000-0400-000002000000}">
      <formula1>$A$12:$A$23</formula1>
    </dataValidation>
    <dataValidation type="list" allowBlank="1" showInputMessage="1" showErrorMessage="1" sqref="C38:C46" xr:uid="{00000000-0002-0000-0400-000003000000}">
      <formula1>listNeiOhne90</formula1>
    </dataValidation>
    <dataValidation type="list" allowBlank="1" showInputMessage="1" showErrorMessage="1" sqref="B75:B80" xr:uid="{00000000-0002-0000-0400-000004000000}">
      <formula1>listUntererAbschluss</formula1>
    </dataValidation>
    <dataValidation type="list" allowBlank="1" showInputMessage="1" showErrorMessage="1" sqref="B12:B24" xr:uid="{00000000-0002-0000-0400-000005000000}">
      <formula1>listOriOhneHor</formula1>
    </dataValidation>
    <dataValidation type="list" allowBlank="1" showInputMessage="1" showErrorMessage="1" sqref="M86:M87 M34:M35 M38:M46 M54:M57 M59:M61 M64:M69 M12:M24 M75:M80" xr:uid="{00000000-0002-0000-0400-000006000000}">
      <formula1>listOpak</formula1>
    </dataValidation>
    <dataValidation type="list" allowBlank="1" showInputMessage="1" showErrorMessage="1" sqref="M26:M32 M48:M52 M82:M84" xr:uid="{00000000-0002-0000-0400-000007000000}">
      <formula1>listTransparent</formula1>
    </dataValidation>
    <dataValidation type="list" allowBlank="1" showInputMessage="1" showErrorMessage="1" sqref="B38:B46" xr:uid="{00000000-0002-0000-0400-000008000000}">
      <formula1>listOri</formula1>
    </dataValidation>
  </dataValidations>
  <pageMargins left="0.70866141732283472" right="0.70866141732283472" top="0.78740157480314965" bottom="0.78740157480314965" header="0.31496062992125984" footer="0.31496062992125984"/>
  <pageSetup paperSize="9" scale="84" fitToHeight="0" orientation="portrait" r:id="rId1"/>
  <headerFooter>
    <oddFooter>&amp;L&amp;G&amp;C&amp;"Arial,Standard"&amp;9A. Maas und K. Höttges
V4.0, April 2023&amp;R&amp;"Arial,Standard"&amp;9Berechnungsblatt GEG 2023, Blatt '&amp;A'
Seite &amp;P von &amp;N</oddFooter>
  </headerFooter>
  <rowBreaks count="2" manualBreakCount="2">
    <brk id="35" max="7" man="1"/>
    <brk id="61" max="7" man="1"/>
  </rowBreaks>
  <colBreaks count="1" manualBreakCount="1">
    <brk id="8"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4209" r:id="rId5" name="stLilaAnAus">
              <controlPr defaultSize="0" print="0" autoFill="0" autoPict="0" macro="[0]!LilaAnAus">
                <anchor>
                  <from>
                    <xdr:col>12</xdr:col>
                    <xdr:colOff>1356360</xdr:colOff>
                    <xdr:row>0</xdr:row>
                    <xdr:rowOff>0</xdr:rowOff>
                  </from>
                  <to>
                    <xdr:col>15</xdr:col>
                    <xdr:colOff>22860</xdr:colOff>
                    <xdr:row>1</xdr:row>
                    <xdr:rowOff>45720</xdr:rowOff>
                  </to>
                </anchor>
              </controlPr>
            </control>
          </mc:Choice>
        </mc:AlternateContent>
        <mc:AlternateContent xmlns:mc="http://schemas.openxmlformats.org/markup-compatibility/2006">
          <mc:Choice Requires="x14">
            <control shapeId="94211" r:id="rId6" name="Button 3">
              <controlPr defaultSize="0" print="0" autoFill="0" autoPict="0" macro="[0]!ZeilenEinAusBlendenAlle">
                <anchor moveWithCells="1">
                  <from>
                    <xdr:col>8</xdr:col>
                    <xdr:colOff>7620</xdr:colOff>
                    <xdr:row>0</xdr:row>
                    <xdr:rowOff>0</xdr:rowOff>
                  </from>
                  <to>
                    <xdr:col>9</xdr:col>
                    <xdr:colOff>22860</xdr:colOff>
                    <xdr:row>1</xdr:row>
                    <xdr:rowOff>22860</xdr:rowOff>
                  </to>
                </anchor>
              </controlPr>
            </control>
          </mc:Choice>
        </mc:AlternateContent>
        <mc:AlternateContent xmlns:mc="http://schemas.openxmlformats.org/markup-compatibility/2006">
          <mc:Choice Requires="x14">
            <control shapeId="94212" r:id="rId7" name="Button 4">
              <controlPr defaultSize="0" print="0" autoFill="0" autoPict="0" macro="[0]!ZeilenEinAusBlendenEinzeln">
                <anchor moveWithCells="1">
                  <from>
                    <xdr:col>8</xdr:col>
                    <xdr:colOff>7620</xdr:colOff>
                    <xdr:row>10</xdr:row>
                    <xdr:rowOff>7620</xdr:rowOff>
                  </from>
                  <to>
                    <xdr:col>9</xdr:col>
                    <xdr:colOff>22860</xdr:colOff>
                    <xdr:row>11</xdr:row>
                    <xdr:rowOff>30480</xdr:rowOff>
                  </to>
                </anchor>
              </controlPr>
            </control>
          </mc:Choice>
        </mc:AlternateContent>
        <mc:AlternateContent xmlns:mc="http://schemas.openxmlformats.org/markup-compatibility/2006">
          <mc:Choice Requires="x14">
            <control shapeId="94213" r:id="rId8" name="Button 5">
              <controlPr defaultSize="0" print="0" autoFill="0" autoPict="0" macro="[0]!ZeilenEinAusBlendenEinzeln">
                <anchor moveWithCells="1">
                  <from>
                    <xdr:col>8</xdr:col>
                    <xdr:colOff>7620</xdr:colOff>
                    <xdr:row>24</xdr:row>
                    <xdr:rowOff>7620</xdr:rowOff>
                  </from>
                  <to>
                    <xdr:col>9</xdr:col>
                    <xdr:colOff>22860</xdr:colOff>
                    <xdr:row>25</xdr:row>
                    <xdr:rowOff>30480</xdr:rowOff>
                  </to>
                </anchor>
              </controlPr>
            </control>
          </mc:Choice>
        </mc:AlternateContent>
        <mc:AlternateContent xmlns:mc="http://schemas.openxmlformats.org/markup-compatibility/2006">
          <mc:Choice Requires="x14">
            <control shapeId="94214" r:id="rId9" name="Button 6">
              <controlPr defaultSize="0" print="0" autoFill="0" autoPict="0" macro="[0]!ZeilenEinAusBlendenEinzeln">
                <anchor moveWithCells="1">
                  <from>
                    <xdr:col>8</xdr:col>
                    <xdr:colOff>7620</xdr:colOff>
                    <xdr:row>32</xdr:row>
                    <xdr:rowOff>7620</xdr:rowOff>
                  </from>
                  <to>
                    <xdr:col>9</xdr:col>
                    <xdr:colOff>22860</xdr:colOff>
                    <xdr:row>33</xdr:row>
                    <xdr:rowOff>30480</xdr:rowOff>
                  </to>
                </anchor>
              </controlPr>
            </control>
          </mc:Choice>
        </mc:AlternateContent>
        <mc:AlternateContent xmlns:mc="http://schemas.openxmlformats.org/markup-compatibility/2006">
          <mc:Choice Requires="x14">
            <control shapeId="94215" r:id="rId10" name="Button 7">
              <controlPr defaultSize="0" print="0" autoFill="0" autoPict="0" macro="[0]!ZeilenEinAusBlendenEinzeln">
                <anchor moveWithCells="1">
                  <from>
                    <xdr:col>8</xdr:col>
                    <xdr:colOff>7620</xdr:colOff>
                    <xdr:row>36</xdr:row>
                    <xdr:rowOff>7620</xdr:rowOff>
                  </from>
                  <to>
                    <xdr:col>9</xdr:col>
                    <xdr:colOff>22860</xdr:colOff>
                    <xdr:row>37</xdr:row>
                    <xdr:rowOff>30480</xdr:rowOff>
                  </to>
                </anchor>
              </controlPr>
            </control>
          </mc:Choice>
        </mc:AlternateContent>
        <mc:AlternateContent xmlns:mc="http://schemas.openxmlformats.org/markup-compatibility/2006">
          <mc:Choice Requires="x14">
            <control shapeId="94216" r:id="rId11" name="Button 8">
              <controlPr defaultSize="0" print="0" autoFill="0" autoPict="0" macro="[0]!ZeilenEinAusBlendenEinzeln">
                <anchor moveWithCells="1">
                  <from>
                    <xdr:col>8</xdr:col>
                    <xdr:colOff>7620</xdr:colOff>
                    <xdr:row>46</xdr:row>
                    <xdr:rowOff>7620</xdr:rowOff>
                  </from>
                  <to>
                    <xdr:col>9</xdr:col>
                    <xdr:colOff>22860</xdr:colOff>
                    <xdr:row>47</xdr:row>
                    <xdr:rowOff>30480</xdr:rowOff>
                  </to>
                </anchor>
              </controlPr>
            </control>
          </mc:Choice>
        </mc:AlternateContent>
        <mc:AlternateContent xmlns:mc="http://schemas.openxmlformats.org/markup-compatibility/2006">
          <mc:Choice Requires="x14">
            <control shapeId="94217" r:id="rId12" name="Button 9">
              <controlPr defaultSize="0" print="0" autoFill="0" autoPict="0" macro="[0]!ZeilenEinAusBlendenEinzeln">
                <anchor moveWithCells="1">
                  <from>
                    <xdr:col>8</xdr:col>
                    <xdr:colOff>7620</xdr:colOff>
                    <xdr:row>52</xdr:row>
                    <xdr:rowOff>7620</xdr:rowOff>
                  </from>
                  <to>
                    <xdr:col>9</xdr:col>
                    <xdr:colOff>22860</xdr:colOff>
                    <xdr:row>53</xdr:row>
                    <xdr:rowOff>30480</xdr:rowOff>
                  </to>
                </anchor>
              </controlPr>
            </control>
          </mc:Choice>
        </mc:AlternateContent>
        <mc:AlternateContent xmlns:mc="http://schemas.openxmlformats.org/markup-compatibility/2006">
          <mc:Choice Requires="x14">
            <control shapeId="94218" r:id="rId13" name="Button 10">
              <controlPr defaultSize="0" print="0" autoFill="0" autoPict="0" macro="[0]!ZeilenEinAusBlendenEinzeln">
                <anchor moveWithCells="1">
                  <from>
                    <xdr:col>8</xdr:col>
                    <xdr:colOff>7620</xdr:colOff>
                    <xdr:row>57</xdr:row>
                    <xdr:rowOff>7620</xdr:rowOff>
                  </from>
                  <to>
                    <xdr:col>9</xdr:col>
                    <xdr:colOff>22860</xdr:colOff>
                    <xdr:row>58</xdr:row>
                    <xdr:rowOff>30480</xdr:rowOff>
                  </to>
                </anchor>
              </controlPr>
            </control>
          </mc:Choice>
        </mc:AlternateContent>
        <mc:AlternateContent xmlns:mc="http://schemas.openxmlformats.org/markup-compatibility/2006">
          <mc:Choice Requires="x14">
            <control shapeId="94219" r:id="rId14" name="Button 11">
              <controlPr defaultSize="0" print="0" autoFill="0" autoPict="0" macro="[0]!ZeilenEinAusBlendenEinzeln">
                <anchor moveWithCells="1">
                  <from>
                    <xdr:col>8</xdr:col>
                    <xdr:colOff>7620</xdr:colOff>
                    <xdr:row>62</xdr:row>
                    <xdr:rowOff>7620</xdr:rowOff>
                  </from>
                  <to>
                    <xdr:col>9</xdr:col>
                    <xdr:colOff>22860</xdr:colOff>
                    <xdr:row>63</xdr:row>
                    <xdr:rowOff>30480</xdr:rowOff>
                  </to>
                </anchor>
              </controlPr>
            </control>
          </mc:Choice>
        </mc:AlternateContent>
        <mc:AlternateContent xmlns:mc="http://schemas.openxmlformats.org/markup-compatibility/2006">
          <mc:Choice Requires="x14">
            <control shapeId="94220" r:id="rId15" name="Button 12">
              <controlPr defaultSize="0" print="0" autoFill="0" autoPict="0" macro="[0]!ZeilenEinAusBlendenEinzeln">
                <anchor moveWithCells="1">
                  <from>
                    <xdr:col>8</xdr:col>
                    <xdr:colOff>7620</xdr:colOff>
                    <xdr:row>69</xdr:row>
                    <xdr:rowOff>7620</xdr:rowOff>
                  </from>
                  <to>
                    <xdr:col>9</xdr:col>
                    <xdr:colOff>22860</xdr:colOff>
                    <xdr:row>70</xdr:row>
                    <xdr:rowOff>30480</xdr:rowOff>
                  </to>
                </anchor>
              </controlPr>
            </control>
          </mc:Choice>
        </mc:AlternateContent>
        <mc:AlternateContent xmlns:mc="http://schemas.openxmlformats.org/markup-compatibility/2006">
          <mc:Choice Requires="x14">
            <control shapeId="94221" r:id="rId16" name="Button 13">
              <controlPr defaultSize="0" print="0" autoFill="0" autoPict="0" macro="[0]!ZeilenEinAusBlendenEinzeln">
                <anchor moveWithCells="1">
                  <from>
                    <xdr:col>8</xdr:col>
                    <xdr:colOff>7620</xdr:colOff>
                    <xdr:row>80</xdr:row>
                    <xdr:rowOff>7620</xdr:rowOff>
                  </from>
                  <to>
                    <xdr:col>9</xdr:col>
                    <xdr:colOff>22860</xdr:colOff>
                    <xdr:row>81</xdr:row>
                    <xdr:rowOff>30480</xdr:rowOff>
                  </to>
                </anchor>
              </controlPr>
            </control>
          </mc:Choice>
        </mc:AlternateContent>
        <mc:AlternateContent xmlns:mc="http://schemas.openxmlformats.org/markup-compatibility/2006">
          <mc:Choice Requires="x14">
            <control shapeId="94222" r:id="rId17" name="Button 14">
              <controlPr defaultSize="0" print="0" autoFill="0" autoPict="0" macro="[0]!ZeilenEinAusBlendenEinzeln">
                <anchor moveWithCells="1">
                  <from>
                    <xdr:col>8</xdr:col>
                    <xdr:colOff>7620</xdr:colOff>
                    <xdr:row>84</xdr:row>
                    <xdr:rowOff>7620</xdr:rowOff>
                  </from>
                  <to>
                    <xdr:col>9</xdr:col>
                    <xdr:colOff>22860</xdr:colOff>
                    <xdr:row>85</xdr:row>
                    <xdr:rowOff>30480</xdr:rowOff>
                  </to>
                </anchor>
              </controlPr>
            </control>
          </mc:Choice>
        </mc:AlternateContent>
        <mc:AlternateContent xmlns:mc="http://schemas.openxmlformats.org/markup-compatibility/2006">
          <mc:Choice Requires="x14">
            <control shapeId="94224" r:id="rId18" name="Button 16">
              <controlPr defaultSize="0" print="0" autoFill="0" autoPict="0" macro="[0]!ZeilenhoeheAnpassenUmbruch">
                <anchor>
                  <from>
                    <xdr:col>12</xdr:col>
                    <xdr:colOff>1356360</xdr:colOff>
                    <xdr:row>1</xdr:row>
                    <xdr:rowOff>83820</xdr:rowOff>
                  </from>
                  <to>
                    <xdr:col>15</xdr:col>
                    <xdr:colOff>22860</xdr:colOff>
                    <xdr:row>2</xdr:row>
                    <xdr:rowOff>114300</xdr:rowOff>
                  </to>
                </anchor>
              </controlPr>
            </control>
          </mc:Choice>
        </mc:AlternateContent>
        <mc:AlternateContent xmlns:mc="http://schemas.openxmlformats.org/markup-compatibility/2006">
          <mc:Choice Requires="x14">
            <control shapeId="94227" r:id="rId19" name="Button 19">
              <controlPr defaultSize="0" print="0" autoFill="0" autoPict="0" macro="[0]!Leeren">
                <anchor>
                  <from>
                    <xdr:col>15</xdr:col>
                    <xdr:colOff>152400</xdr:colOff>
                    <xdr:row>0</xdr:row>
                    <xdr:rowOff>0</xdr:rowOff>
                  </from>
                  <to>
                    <xdr:col>18</xdr:col>
                    <xdr:colOff>213360</xdr:colOff>
                    <xdr:row>1</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fitToPage="1"/>
  </sheetPr>
  <dimension ref="A1:AA428"/>
  <sheetViews>
    <sheetView showGridLines="0" zoomScaleNormal="100" workbookViewId="0">
      <pane ySplit="2" topLeftCell="A3" activePane="bottomLeft" state="frozen"/>
      <selection pane="bottomLeft" sqref="A1:K1"/>
    </sheetView>
  </sheetViews>
  <sheetFormatPr baseColWidth="10" defaultColWidth="11.44140625" defaultRowHeight="13.2"/>
  <cols>
    <col min="1" max="3" width="8" style="18" customWidth="1"/>
    <col min="4" max="4" width="8.109375" style="18" customWidth="1"/>
    <col min="5" max="11" width="8" style="18" customWidth="1"/>
    <col min="12" max="14" width="4.109375" style="18" customWidth="1"/>
    <col min="15" max="15" width="3.33203125" style="66" hidden="1" customWidth="1"/>
    <col min="16" max="16" width="4.88671875" style="66" hidden="1" customWidth="1"/>
    <col min="17" max="17" width="5.109375" style="66" hidden="1" customWidth="1"/>
    <col min="18" max="18" width="8.109375" style="66" hidden="1" customWidth="1"/>
    <col min="19" max="19" width="5" style="66" hidden="1" customWidth="1"/>
    <col min="20" max="20" width="5.88671875" style="66" hidden="1" customWidth="1"/>
    <col min="21" max="21" width="7.6640625" style="66" hidden="1" customWidth="1"/>
    <col min="22" max="22" width="9.88671875" style="66" hidden="1" customWidth="1"/>
    <col min="23" max="23" width="7.109375" style="66" hidden="1" customWidth="1"/>
    <col min="24" max="16384" width="11.44140625" style="18"/>
  </cols>
  <sheetData>
    <row r="1" spans="1:17" ht="16.5" customHeight="1">
      <c r="A1" s="1240" t="s">
        <v>738</v>
      </c>
      <c r="B1" s="1240"/>
      <c r="C1" s="1240"/>
      <c r="D1" s="1240"/>
      <c r="E1" s="1240"/>
      <c r="F1" s="1240"/>
      <c r="G1" s="1240"/>
      <c r="H1" s="1240"/>
      <c r="I1" s="1240"/>
      <c r="J1" s="1240"/>
      <c r="K1" s="1240"/>
      <c r="L1" s="1"/>
      <c r="M1" s="29" t="s">
        <v>299</v>
      </c>
      <c r="N1" s="1"/>
    </row>
    <row r="2" spans="1:17" ht="16.5" customHeight="1">
      <c r="A2" s="18" t="s">
        <v>698</v>
      </c>
      <c r="K2" s="1128" t="str">
        <f ca="1">Gebaeude!$I$2</f>
        <v>qP,vorh 33,8&lt;=38,5 kWh/(m²a)  |  HT',vorh 0,25&lt;=0,36 W/(m²K)</v>
      </c>
      <c r="L2" s="1"/>
      <c r="N2" s="1"/>
    </row>
    <row r="3" spans="1:17" ht="7.2" customHeight="1">
      <c r="A3" s="24"/>
      <c r="B3" s="24"/>
      <c r="C3" s="24"/>
      <c r="D3" s="24"/>
      <c r="E3" s="24"/>
      <c r="F3" s="24"/>
      <c r="G3" s="24"/>
      <c r="H3" s="24"/>
      <c r="I3" s="24"/>
      <c r="J3" s="24"/>
      <c r="K3" s="24"/>
      <c r="L3" s="1"/>
      <c r="N3" s="1"/>
    </row>
    <row r="4" spans="1:17" ht="16.5" customHeight="1">
      <c r="A4" s="65" t="s">
        <v>707</v>
      </c>
      <c r="B4" s="66"/>
      <c r="C4" s="66"/>
      <c r="D4" s="66"/>
      <c r="E4" s="66"/>
      <c r="F4" s="66"/>
      <c r="G4" s="66"/>
      <c r="H4" s="165"/>
      <c r="I4" s="66"/>
      <c r="J4" s="66"/>
      <c r="K4" s="66"/>
      <c r="L4" s="1"/>
      <c r="M4" s="122">
        <f>ROW(A5)</f>
        <v>5</v>
      </c>
      <c r="N4" s="122">
        <f>ROW(A40)</f>
        <v>40</v>
      </c>
      <c r="O4" s="589">
        <v>8</v>
      </c>
    </row>
    <row r="5" spans="1:17" ht="16.5" customHeight="1">
      <c r="A5" s="25" t="s">
        <v>710</v>
      </c>
      <c r="F5" s="134" t="str">
        <f>Gebaeude!E4</f>
        <v>Beispielgebäude Wohnhaus</v>
      </c>
      <c r="O5" s="505" t="s">
        <v>1152</v>
      </c>
      <c r="P5" s="506"/>
      <c r="Q5" s="507"/>
    </row>
    <row r="6" spans="1:17" ht="16.5" customHeight="1" thickBot="1">
      <c r="C6" s="28" t="s">
        <v>699</v>
      </c>
      <c r="D6" s="1181"/>
      <c r="E6" s="1181"/>
      <c r="F6" s="1181"/>
      <c r="G6" s="1181"/>
      <c r="H6" s="1181"/>
      <c r="I6" s="1181"/>
      <c r="J6" s="1181"/>
      <c r="K6" s="1181"/>
      <c r="O6" s="508" t="s">
        <v>1802</v>
      </c>
      <c r="P6" s="509"/>
      <c r="Q6" s="507"/>
    </row>
    <row r="7" spans="1:17" ht="16.5" customHeight="1" thickTop="1" thickBot="1">
      <c r="C7" s="28" t="s">
        <v>700</v>
      </c>
      <c r="D7" s="1187"/>
      <c r="E7" s="1187"/>
      <c r="F7" s="1187"/>
      <c r="G7" s="1187"/>
      <c r="H7" s="1187"/>
      <c r="I7" s="1187"/>
      <c r="J7" s="1187"/>
      <c r="K7" s="1187"/>
      <c r="O7" s="510"/>
      <c r="P7" s="509" t="str">
        <f>Gebaeude!G209</f>
        <v>Musteranlage</v>
      </c>
      <c r="Q7" s="507"/>
    </row>
    <row r="8" spans="1:17" ht="16.5" customHeight="1" thickTop="1" thickBot="1">
      <c r="C8" s="28" t="s">
        <v>701</v>
      </c>
      <c r="D8" s="1187"/>
      <c r="E8" s="1187"/>
      <c r="F8" s="1187"/>
      <c r="G8" s="1187"/>
      <c r="H8" s="1187"/>
      <c r="I8" s="1187"/>
      <c r="J8" s="1187"/>
      <c r="K8" s="1187"/>
      <c r="O8" s="508" t="s">
        <v>1803</v>
      </c>
      <c r="P8" s="509"/>
      <c r="Q8" s="507"/>
    </row>
    <row r="9" spans="1:17" ht="16.5" customHeight="1" thickTop="1">
      <c r="C9" s="28" t="s">
        <v>2456</v>
      </c>
      <c r="D9" s="1246" t="s">
        <v>2663</v>
      </c>
      <c r="E9" s="1246"/>
      <c r="F9" s="1246"/>
      <c r="G9" s="1246"/>
      <c r="H9" s="1246"/>
      <c r="I9" s="1246"/>
      <c r="J9" s="1246"/>
      <c r="K9" s="1246"/>
      <c r="L9" s="608" t="s">
        <v>2457</v>
      </c>
      <c r="O9" s="509"/>
      <c r="P9" s="509" t="str">
        <f>Gebaeude!D211</f>
        <v>Anlage 8 - Wärmepumpe (Luft/Wasser) und Lüftungsanlage mit Wärmerückgewinnung</v>
      </c>
      <c r="Q9" s="507"/>
    </row>
    <row r="10" spans="1:17" ht="6" customHeight="1">
      <c r="A10" s="25"/>
      <c r="M10" s="122"/>
      <c r="N10" s="122"/>
    </row>
    <row r="11" spans="1:17" ht="16.5" customHeight="1">
      <c r="A11" s="25" t="s">
        <v>702</v>
      </c>
      <c r="C11" s="28" t="s">
        <v>708</v>
      </c>
      <c r="D11" s="1234">
        <f ca="1">Gebaeude!F9</f>
        <v>213.7481712</v>
      </c>
      <c r="E11" s="1235"/>
      <c r="M11" s="724" t="str">
        <f>IF(ge_Art&lt;&gt;Gebaeude!C213,"Hinweis: Tabellenverfahren ist nicht ausgewählt (Blatt Gebaeude), d.h. die hier dargestellte Berechnung ist nicht relevant.","")</f>
        <v>Hinweis: Tabellenverfahren ist nicht ausgewählt (Blatt Gebaeude), d.h. die hier dargestellte Berechnung ist nicht relevant.</v>
      </c>
      <c r="N11" s="122"/>
    </row>
    <row r="12" spans="1:17" ht="16.5" customHeight="1">
      <c r="A12" s="25"/>
      <c r="C12" s="28" t="s">
        <v>709</v>
      </c>
      <c r="D12" s="1244">
        <v>185</v>
      </c>
      <c r="E12" s="1245"/>
      <c r="G12" s="28"/>
      <c r="M12" s="122"/>
      <c r="N12" s="122"/>
      <c r="P12" s="848">
        <f>IF(stTechAnlage=4,3000,500)</f>
        <v>500</v>
      </c>
      <c r="Q12" s="848" t="str">
        <f>INDEX(R185:R196,stTechAnlage)</f>
        <v xml:space="preserve">ANmax = 500 m², da ohne Zirkulation; </v>
      </c>
    </row>
    <row r="13" spans="1:17" ht="6.75" customHeight="1">
      <c r="A13" s="25"/>
      <c r="C13" s="28"/>
      <c r="D13" s="170"/>
      <c r="E13" s="170"/>
      <c r="G13" s="28"/>
      <c r="M13" s="122"/>
      <c r="N13" s="122"/>
    </row>
    <row r="14" spans="1:17" ht="33" customHeight="1">
      <c r="A14" s="18" t="s">
        <v>711</v>
      </c>
      <c r="C14" s="1241" t="s">
        <v>703</v>
      </c>
      <c r="D14" s="1241"/>
      <c r="E14" s="1241"/>
      <c r="F14" s="1243" t="s">
        <v>297</v>
      </c>
      <c r="G14" s="1243"/>
      <c r="H14" s="1243"/>
      <c r="I14" s="1242" t="s">
        <v>261</v>
      </c>
      <c r="J14" s="1242"/>
      <c r="K14" s="1242"/>
      <c r="L14" s="1"/>
      <c r="M14" s="849" t="str">
        <f ca="1">IF(AND(ge_Art=Gebaeude!$C$213,LEN($Q$12)&gt;0,$D$11&gt;$P$12),"Hinweis: Anlagenkonfiguration bei Nutzfläche AN &gt; "&amp;$P$12&amp;" m² nicht zulässig, bitte andere Anlage wählen oder Tabellenwerte anpassen.","")</f>
        <v/>
      </c>
      <c r="N14" s="123"/>
    </row>
    <row r="15" spans="1:17" ht="16.5" customHeight="1">
      <c r="A15" s="18" t="s">
        <v>363</v>
      </c>
      <c r="C15" s="28" t="s">
        <v>715</v>
      </c>
      <c r="D15" s="1252">
        <f ca="1">$D$11*D16</f>
        <v>2671.85214</v>
      </c>
      <c r="E15" s="1253"/>
      <c r="F15" s="28" t="s">
        <v>713</v>
      </c>
      <c r="G15" s="1252">
        <f ca="1">$D$11*G16</f>
        <v>8046.4144711898389</v>
      </c>
      <c r="H15" s="1253"/>
      <c r="I15" s="59"/>
      <c r="J15" s="59"/>
      <c r="K15" s="1"/>
      <c r="M15" s="850" t="str">
        <f ca="1">IF(AND(ge_Art=Gebaeude!$C$213,$Q$12&lt;&gt;"",$D$11&gt;$P$12),Q12,"")</f>
        <v/>
      </c>
      <c r="N15" s="122"/>
    </row>
    <row r="16" spans="1:17" ht="16.5" customHeight="1">
      <c r="A16" s="18" t="s">
        <v>712</v>
      </c>
      <c r="C16" s="28" t="s">
        <v>716</v>
      </c>
      <c r="D16" s="1254">
        <f>12.5*1</f>
        <v>12.5</v>
      </c>
      <c r="E16" s="1255"/>
      <c r="F16" s="28" t="s">
        <v>714</v>
      </c>
      <c r="G16" s="1256">
        <f ca="1">Gebaeude!I199</f>
        <v>37.64436638693374</v>
      </c>
      <c r="H16" s="1257"/>
      <c r="K16" s="1"/>
      <c r="M16" s="122"/>
      <c r="N16" s="122"/>
    </row>
    <row r="17" spans="1:23" ht="6" customHeight="1">
      <c r="A17" s="25"/>
      <c r="L17" s="1"/>
      <c r="M17" s="122"/>
      <c r="N17" s="122"/>
    </row>
    <row r="18" spans="1:23" ht="16.5" customHeight="1">
      <c r="A18" s="25" t="s">
        <v>704</v>
      </c>
      <c r="N18" s="122"/>
    </row>
    <row r="19" spans="1:23" ht="33" customHeight="1">
      <c r="A19" s="18" t="s">
        <v>282</v>
      </c>
      <c r="C19" s="1247"/>
      <c r="D19" s="1247"/>
      <c r="E19" s="1248"/>
      <c r="F19" s="1249" t="s">
        <v>2867</v>
      </c>
      <c r="G19" s="1250"/>
      <c r="H19" s="1251"/>
      <c r="I19" s="1249" t="s">
        <v>2385</v>
      </c>
      <c r="J19" s="1250"/>
      <c r="K19" s="1251"/>
      <c r="L19" s="1"/>
      <c r="M19" s="122"/>
      <c r="N19" s="122"/>
      <c r="S19" s="66" t="s">
        <v>805</v>
      </c>
      <c r="T19" s="66" t="s">
        <v>1096</v>
      </c>
      <c r="U19" s="66" t="s">
        <v>693</v>
      </c>
      <c r="V19" s="66" t="s">
        <v>1126</v>
      </c>
      <c r="W19" s="66" t="s">
        <v>2976</v>
      </c>
    </row>
    <row r="20" spans="1:23" ht="33" customHeight="1">
      <c r="A20" s="18" t="s">
        <v>283</v>
      </c>
      <c r="C20" s="1261" t="s">
        <v>672</v>
      </c>
      <c r="D20" s="1258"/>
      <c r="E20" s="1259"/>
      <c r="F20" s="1261" t="s">
        <v>2377</v>
      </c>
      <c r="G20" s="1258"/>
      <c r="H20" s="1259"/>
      <c r="I20" s="1258" t="s">
        <v>367</v>
      </c>
      <c r="J20" s="1258"/>
      <c r="K20" s="1259"/>
      <c r="L20" s="1"/>
      <c r="M20" s="122"/>
      <c r="N20" s="122"/>
      <c r="S20" s="174">
        <v>1</v>
      </c>
      <c r="T20" s="66" t="s">
        <v>417</v>
      </c>
      <c r="U20" s="174">
        <f>INDEX(Technik!$C$185:$M$209,$O$4,$S20)</f>
        <v>3</v>
      </c>
      <c r="V20" s="175" t="str">
        <f>VLOOKUP(T20&amp;"#"&amp;U20,Technik!$A$213:$O$411,15,FALSE)</f>
        <v>außerhalb thermischer Hülle, ohne Zirkulation</v>
      </c>
      <c r="W20" s="178" t="str">
        <f ca="1">CELL("Adresse",C20)</f>
        <v>$C$20</v>
      </c>
    </row>
    <row r="21" spans="1:23" ht="33" customHeight="1">
      <c r="A21" s="18" t="s">
        <v>616</v>
      </c>
      <c r="C21" s="1249" t="s">
        <v>628</v>
      </c>
      <c r="D21" s="1250"/>
      <c r="E21" s="1251"/>
      <c r="F21" s="1249" t="s">
        <v>668</v>
      </c>
      <c r="G21" s="1250"/>
      <c r="H21" s="1251"/>
      <c r="I21" s="1260"/>
      <c r="J21" s="1260"/>
      <c r="K21" s="1260"/>
      <c r="L21" s="1"/>
      <c r="M21" s="122"/>
      <c r="N21" s="122"/>
      <c r="S21" s="174">
        <v>2</v>
      </c>
      <c r="T21" s="66" t="s">
        <v>418</v>
      </c>
      <c r="U21" s="174">
        <f>INDEX(Technik!$C$185:$M$209,$O$4,$S21)</f>
        <v>7</v>
      </c>
      <c r="V21" s="175" t="str">
        <f>VLOOKUP(T21&amp;"#"&amp;U21,Technik!$A$213:$O$411,15,FALSE)</f>
        <v>indirekt beheizter Speicher, Aufstellung außerhalb thermischer Hülle</v>
      </c>
      <c r="W21" s="178" t="str">
        <f ca="1">CELL("Adresse",C21)</f>
        <v>$C$21</v>
      </c>
    </row>
    <row r="22" spans="1:23" ht="33" customHeight="1">
      <c r="A22" s="18" t="s">
        <v>270</v>
      </c>
      <c r="C22" s="58" t="s">
        <v>717</v>
      </c>
      <c r="D22" s="58" t="s">
        <v>718</v>
      </c>
      <c r="E22" s="58" t="s">
        <v>719</v>
      </c>
      <c r="F22" s="58" t="s">
        <v>717</v>
      </c>
      <c r="G22" s="58" t="s">
        <v>718</v>
      </c>
      <c r="H22" s="58" t="s">
        <v>719</v>
      </c>
      <c r="I22" s="58" t="s">
        <v>720</v>
      </c>
      <c r="J22" s="58" t="s">
        <v>721</v>
      </c>
      <c r="K22" s="58" t="s">
        <v>737</v>
      </c>
      <c r="L22" s="1"/>
      <c r="M22" s="122"/>
      <c r="N22" s="122"/>
      <c r="S22" s="174">
        <v>3</v>
      </c>
      <c r="T22" s="66" t="s">
        <v>419</v>
      </c>
      <c r="U22" s="174">
        <f>INDEX(Technik!$C$185:$M$209,$O$4,$S22)</f>
        <v>97</v>
      </c>
      <c r="V22" s="175" t="str">
        <f>VLOOKUP(T22&amp;"#"&amp;U22,Technik!$A$213:$O$411,15,FALSE)</f>
        <v>Elektro-WP</v>
      </c>
      <c r="W22" s="178" t="str">
        <f ca="1">CELL("Adresse",C23)</f>
        <v>$C$23</v>
      </c>
    </row>
    <row r="23" spans="1:23" ht="33" customHeight="1">
      <c r="A23" s="18" t="s">
        <v>217</v>
      </c>
      <c r="C23" s="893" t="s">
        <v>1149</v>
      </c>
      <c r="D23" s="894"/>
      <c r="E23" s="895"/>
      <c r="F23" s="893" t="s">
        <v>3264</v>
      </c>
      <c r="G23" s="894"/>
      <c r="H23" s="895"/>
      <c r="I23" s="555" t="s">
        <v>367</v>
      </c>
      <c r="J23" s="556"/>
      <c r="K23" s="557"/>
      <c r="L23" s="1"/>
      <c r="N23" s="122"/>
      <c r="S23" s="174">
        <v>4</v>
      </c>
      <c r="T23" s="66" t="s">
        <v>420</v>
      </c>
      <c r="U23" s="174">
        <f>INDEX(Technik!$C$185:$M$209,$O$4,$S23)</f>
        <v>12</v>
      </c>
      <c r="V23" s="175" t="str">
        <f>VLOOKUP(T23&amp;"#"&amp;U23,Technik!$A$213:$O$411,15,FALSE)</f>
        <v>Fußbodenheizung, Einzelraumregelung 2 K</v>
      </c>
      <c r="W23" s="178" t="str">
        <f ca="1">CELL("Adresse",F19)</f>
        <v>$F$19</v>
      </c>
    </row>
    <row r="24" spans="1:23" ht="16.5" customHeight="1">
      <c r="A24" s="18" t="s">
        <v>705</v>
      </c>
      <c r="C24" s="499">
        <f>G59</f>
        <v>1</v>
      </c>
      <c r="D24" s="500">
        <f>H59</f>
        <v>0</v>
      </c>
      <c r="E24" s="501">
        <f>I59</f>
        <v>0</v>
      </c>
      <c r="F24" s="499">
        <f>G149</f>
        <v>1</v>
      </c>
      <c r="G24" s="500">
        <f>H149</f>
        <v>0</v>
      </c>
      <c r="H24" s="501">
        <f>I149</f>
        <v>0</v>
      </c>
      <c r="I24" s="499"/>
      <c r="J24" s="500">
        <f>G101</f>
        <v>0</v>
      </c>
      <c r="K24" s="501">
        <f>H101</f>
        <v>0</v>
      </c>
      <c r="L24" s="1"/>
      <c r="M24" s="122"/>
      <c r="N24" s="122"/>
      <c r="S24" s="174">
        <v>5</v>
      </c>
      <c r="T24" s="66" t="s">
        <v>421</v>
      </c>
      <c r="U24" s="174">
        <f>INDEX(Technik!$C$185:$M$209,$O$4,$S24)</f>
        <v>18</v>
      </c>
      <c r="V24" s="175" t="str">
        <f>VLOOKUP(T24&amp;"#"&amp;U24,Technik!$A$213:$O$411,15,FALSE)</f>
        <v>horizontale Verteilung außerhalb Hülle, Verteilungsstränge innenliegend, geregelte Pumpen</v>
      </c>
      <c r="W24" s="178" t="str">
        <f ca="1">CELL("Adresse",F20)</f>
        <v>$F$20</v>
      </c>
    </row>
    <row r="25" spans="1:23" ht="7.2" customHeight="1">
      <c r="A25" s="25"/>
      <c r="L25" s="1"/>
      <c r="M25" s="122"/>
      <c r="N25" s="122"/>
      <c r="S25" s="174">
        <v>6</v>
      </c>
      <c r="T25" s="66" t="s">
        <v>422</v>
      </c>
      <c r="U25" s="174">
        <f>INDEX(Technik!$C$185:$M$209,$O$4,$S25)</f>
        <v>4</v>
      </c>
      <c r="V25" s="175" t="str">
        <f>VLOOKUP(T25&amp;"#"&amp;U25,Technik!$A$213:$O$411,15,FALSE)</f>
        <v>Aufstellung außerhalb der thermischen Hülle</v>
      </c>
      <c r="W25" s="178" t="str">
        <f ca="1">CELL("Adresse",F21)</f>
        <v>$F$21</v>
      </c>
    </row>
    <row r="26" spans="1:23" ht="16.5" customHeight="1">
      <c r="A26" s="25" t="s">
        <v>706</v>
      </c>
      <c r="L26" s="1"/>
      <c r="M26" s="122"/>
      <c r="N26" s="122"/>
      <c r="S26" s="174">
        <v>7</v>
      </c>
      <c r="T26" s="66" t="s">
        <v>423</v>
      </c>
      <c r="U26" s="174">
        <f>INDEX(Technik!$C$185:$M$209,$O$4,$S26)</f>
        <v>161</v>
      </c>
      <c r="V26" s="175" t="str">
        <f>VLOOKUP(T26&amp;"#"&amp;U26,Technik!$A$213:$O$411,15,FALSE)</f>
        <v>WP Luft 35/28°C monov.</v>
      </c>
      <c r="W26" s="178" t="str">
        <f ca="1">CELL("Adresse",F23)</f>
        <v>$F$23</v>
      </c>
    </row>
    <row r="27" spans="1:23" ht="16.5" customHeight="1">
      <c r="A27" s="18" t="s">
        <v>732</v>
      </c>
      <c r="L27" s="1"/>
      <c r="M27" s="122"/>
      <c r="N27" s="122"/>
      <c r="S27" s="174">
        <v>8</v>
      </c>
      <c r="T27" s="66" t="s">
        <v>424</v>
      </c>
      <c r="U27" s="174">
        <f>INDEX(Technik!$C$185:$M$209,$O$4,$S27)</f>
        <v>7</v>
      </c>
      <c r="V27" s="175" t="str">
        <f>VLOOKUP(T27&amp;"#"&amp;U27,Technik!$A$213:$O$411,15,FALSE)</f>
        <v>Lufttemperaturen &lt; 20°C</v>
      </c>
      <c r="W27" s="178" t="str">
        <f ca="1">CELL("Adresse",I19)</f>
        <v>$I$19</v>
      </c>
    </row>
    <row r="28" spans="1:23" ht="16.5" customHeight="1">
      <c r="B28" s="28" t="s">
        <v>208</v>
      </c>
      <c r="C28" s="28" t="s">
        <v>722</v>
      </c>
      <c r="D28" s="1234">
        <f>I54</f>
        <v>1</v>
      </c>
      <c r="E28" s="1235"/>
      <c r="F28" s="28" t="s">
        <v>726</v>
      </c>
      <c r="G28" s="1234">
        <f ca="1">G16-D28-J28</f>
        <v>36.64436638693374</v>
      </c>
      <c r="H28" s="1235"/>
      <c r="I28" s="28" t="s">
        <v>727</v>
      </c>
      <c r="J28" s="1234">
        <f>I112</f>
        <v>0</v>
      </c>
      <c r="K28" s="1235"/>
      <c r="L28" s="1"/>
      <c r="M28" s="122"/>
      <c r="N28" s="122"/>
      <c r="S28" s="174">
        <v>9</v>
      </c>
      <c r="T28" s="66" t="s">
        <v>425</v>
      </c>
      <c r="U28" s="174">
        <f>INDEX(Technik!$C$185:$M$209,$O$4,$S28)</f>
        <v>32</v>
      </c>
      <c r="V28" s="175" t="str">
        <f>VLOOKUP(T28&amp;"#"&amp;U28,Technik!$A$213:$O$411,15,FALSE)</f>
        <v>beheizt, WRG durch WÜT</v>
      </c>
      <c r="W28" s="178" t="str">
        <f ca="1">CELL("Adresse",I20)</f>
        <v>$I$20</v>
      </c>
    </row>
    <row r="29" spans="1:23" ht="16.5" customHeight="1">
      <c r="A29" s="18" t="s">
        <v>2668</v>
      </c>
      <c r="D29" s="134"/>
      <c r="E29" s="134"/>
      <c r="G29" s="134"/>
      <c r="H29" s="134"/>
      <c r="J29" s="134"/>
      <c r="K29" s="190"/>
      <c r="L29" s="1"/>
      <c r="M29" s="122"/>
      <c r="N29" s="122"/>
      <c r="S29" s="174">
        <v>10</v>
      </c>
      <c r="T29" s="66" t="s">
        <v>426</v>
      </c>
      <c r="U29" s="174">
        <f>INDEX(Technik!$C$185:$M$209,$O$4,$S29)</f>
        <v>13</v>
      </c>
      <c r="V29" s="175" t="str">
        <f>VLOOKUP(T29&amp;"#"&amp;U29,Technik!$A$213:$O$411,15,FALSE)</f>
        <v>AbZuluft 80% DC, zentral</v>
      </c>
      <c r="W29" s="178" t="str">
        <f ca="1">CELL("Adresse",I23)</f>
        <v>$I$23</v>
      </c>
    </row>
    <row r="30" spans="1:23" ht="16.5" customHeight="1">
      <c r="B30" s="28" t="s">
        <v>729</v>
      </c>
      <c r="C30" s="28" t="s">
        <v>728</v>
      </c>
      <c r="D30" s="1234">
        <f ca="1">G88</f>
        <v>1331.2646498824702</v>
      </c>
      <c r="E30" s="1235"/>
      <c r="F30" s="28" t="s">
        <v>730</v>
      </c>
      <c r="G30" s="1234">
        <f ca="1">G178</f>
        <v>2753.8762727749095</v>
      </c>
      <c r="H30" s="1235"/>
      <c r="I30" s="28" t="s">
        <v>731</v>
      </c>
      <c r="J30" s="1234">
        <f ca="1">G126</f>
        <v>0</v>
      </c>
      <c r="K30" s="1235"/>
      <c r="L30" s="1"/>
      <c r="M30" s="122"/>
      <c r="N30" s="122"/>
      <c r="S30" s="155"/>
      <c r="T30" s="66" t="s">
        <v>1718</v>
      </c>
      <c r="U30" s="155"/>
      <c r="V30" s="175" t="str">
        <f>INDEX(Q185:Q209,stTechAnlage)</f>
        <v>WP (Luft) + LA mit WRG</v>
      </c>
      <c r="W30" s="178" t="str">
        <f ca="1">CELL("Adresse",D9)</f>
        <v>$D$9</v>
      </c>
    </row>
    <row r="31" spans="1:23" ht="16.5" customHeight="1">
      <c r="A31" s="18" t="s">
        <v>2669</v>
      </c>
      <c r="D31" s="134"/>
      <c r="E31" s="134"/>
      <c r="G31" s="134"/>
      <c r="H31" s="134"/>
      <c r="J31" s="134"/>
      <c r="K31" s="134"/>
      <c r="L31" s="1"/>
      <c r="M31" s="122"/>
      <c r="N31" s="122"/>
      <c r="S31" s="155"/>
      <c r="T31" s="66" t="s">
        <v>2389</v>
      </c>
      <c r="U31" s="155"/>
      <c r="V31" s="175" t="str">
        <f>IF(V22="solar",V26,"")</f>
        <v/>
      </c>
      <c r="W31" s="178" t="str">
        <f ca="1">CELL("Adresse",t0txt_w3)</f>
        <v>$D$23</v>
      </c>
    </row>
    <row r="32" spans="1:23" ht="16.5" customHeight="1">
      <c r="A32" s="25"/>
      <c r="B32" s="28" t="s">
        <v>729</v>
      </c>
      <c r="C32" s="28" t="s">
        <v>1958</v>
      </c>
      <c r="D32" s="1234">
        <f ca="1">$G$89</f>
        <v>14.360457133900798</v>
      </c>
      <c r="E32" s="1235"/>
      <c r="F32" s="28" t="s">
        <v>1959</v>
      </c>
      <c r="G32" s="1234">
        <f ca="1">$G$179</f>
        <v>456.76445198607365</v>
      </c>
      <c r="H32" s="1235"/>
      <c r="I32" s="28" t="s">
        <v>1960</v>
      </c>
      <c r="J32" s="1234">
        <f ca="1">$G$127</f>
        <v>0</v>
      </c>
      <c r="K32" s="1235"/>
      <c r="L32" s="1"/>
      <c r="M32" s="122"/>
      <c r="N32" s="122"/>
      <c r="S32" s="155"/>
      <c r="T32" s="155"/>
      <c r="U32" s="155"/>
      <c r="V32" s="155"/>
      <c r="W32" s="155"/>
    </row>
    <row r="33" spans="1:23" ht="16.5" customHeight="1">
      <c r="A33" s="18" t="s">
        <v>734</v>
      </c>
      <c r="D33" s="134"/>
      <c r="E33" s="134"/>
      <c r="G33" s="134"/>
      <c r="H33" s="134"/>
      <c r="J33" s="134"/>
      <c r="K33" s="134"/>
      <c r="M33" s="123"/>
      <c r="N33" s="123"/>
    </row>
    <row r="34" spans="1:23" ht="16.5" customHeight="1">
      <c r="A34" s="25"/>
      <c r="B34" s="28" t="s">
        <v>729</v>
      </c>
      <c r="C34" s="28" t="s">
        <v>2373</v>
      </c>
      <c r="D34" s="1234">
        <f ca="1">$G$90</f>
        <v>2422.1251926294681</v>
      </c>
      <c r="E34" s="1235"/>
      <c r="F34" s="28" t="s">
        <v>2374</v>
      </c>
      <c r="G34" s="1234">
        <f ca="1">$G$180</f>
        <v>5779.1533045697697</v>
      </c>
      <c r="H34" s="1235"/>
      <c r="I34" s="28" t="s">
        <v>2375</v>
      </c>
      <c r="J34" s="1234">
        <f ca="1">$G$128</f>
        <v>0</v>
      </c>
      <c r="K34" s="1235"/>
      <c r="L34" s="1"/>
      <c r="M34" s="122"/>
      <c r="N34" s="122"/>
    </row>
    <row r="35" spans="1:23" ht="16.2" customHeight="1">
      <c r="A35" s="25"/>
      <c r="B35" s="28"/>
      <c r="C35" s="28"/>
      <c r="D35" s="64"/>
      <c r="E35" s="64"/>
      <c r="F35" s="28"/>
      <c r="G35" s="191"/>
      <c r="H35" s="191"/>
      <c r="I35" s="28"/>
      <c r="K35" s="59"/>
      <c r="L35" s="1"/>
      <c r="M35" s="122"/>
      <c r="N35" s="122"/>
    </row>
    <row r="36" spans="1:23" ht="16.5" customHeight="1">
      <c r="A36" s="25" t="s">
        <v>725</v>
      </c>
      <c r="G36" s="134"/>
      <c r="H36" s="134"/>
      <c r="M36" s="123"/>
      <c r="N36" s="123"/>
      <c r="P36" s="173" t="s">
        <v>2939</v>
      </c>
    </row>
    <row r="37" spans="1:23" ht="16.5" customHeight="1">
      <c r="A37" s="18" t="s">
        <v>228</v>
      </c>
      <c r="E37" s="28" t="s">
        <v>363</v>
      </c>
      <c r="F37" s="28" t="s">
        <v>733</v>
      </c>
      <c r="G37" s="1252">
        <f ca="1">SUM(D30:K30)</f>
        <v>4085.1409226573796</v>
      </c>
      <c r="H37" s="1253"/>
      <c r="I37" s="18" t="s">
        <v>723</v>
      </c>
      <c r="M37" s="122"/>
      <c r="N37" s="122"/>
      <c r="P37" s="173">
        <f ca="1">G37/gAN</f>
        <v>19.111933916080119</v>
      </c>
      <c r="W37" s="517">
        <f ca="1">G37/$D$11</f>
        <v>19.111933916080119</v>
      </c>
    </row>
    <row r="38" spans="1:23" ht="16.5" customHeight="1">
      <c r="E38" s="28" t="s">
        <v>363</v>
      </c>
      <c r="G38" s="1252">
        <f ca="1">SUM(D32:K32)</f>
        <v>471.12490911997446</v>
      </c>
      <c r="H38" s="1253"/>
      <c r="I38" s="18" t="s">
        <v>724</v>
      </c>
      <c r="K38" s="59"/>
      <c r="L38" s="1"/>
      <c r="M38" s="122"/>
      <c r="N38" s="122"/>
      <c r="P38" s="173">
        <f ca="1">G38/gAN</f>
        <v>2.2041120000000003</v>
      </c>
      <c r="W38" s="517">
        <f ca="1">G38/$D$11</f>
        <v>2.2041120000000003</v>
      </c>
    </row>
    <row r="39" spans="1:23" ht="16.5" customHeight="1">
      <c r="A39" s="18" t="s">
        <v>229</v>
      </c>
      <c r="E39" s="28" t="s">
        <v>363</v>
      </c>
      <c r="F39" s="28" t="s">
        <v>736</v>
      </c>
      <c r="G39" s="1252">
        <f ca="1">SUM(D34:K34)</f>
        <v>8201.2784971992369</v>
      </c>
      <c r="H39" s="1253"/>
      <c r="I39" s="18" t="s">
        <v>734</v>
      </c>
      <c r="L39" s="1"/>
      <c r="M39" s="122"/>
      <c r="N39" s="122"/>
      <c r="P39" s="173">
        <f ca="1">G39/gAN</f>
        <v>38.368882648944215</v>
      </c>
      <c r="W39" s="517">
        <f ca="1">G39/$D$11</f>
        <v>38.368882648944215</v>
      </c>
    </row>
    <row r="40" spans="1:23" s="25" customFormat="1" ht="16.5" customHeight="1">
      <c r="A40" s="1238" t="s">
        <v>735</v>
      </c>
      <c r="B40" s="1238"/>
      <c r="C40" s="1238"/>
      <c r="D40" s="1238"/>
      <c r="E40" s="68" t="s">
        <v>242</v>
      </c>
      <c r="F40" s="68" t="s">
        <v>748</v>
      </c>
      <c r="G40" s="1262">
        <f ca="1">IF(((D16+G16)*D11)&gt;0,G39/((D16+G16)*D11),"")</f>
        <v>0.76516836114499398</v>
      </c>
      <c r="H40" s="1263"/>
      <c r="L40" s="72"/>
      <c r="M40" s="124"/>
      <c r="N40" s="124"/>
      <c r="O40" s="150"/>
      <c r="P40" s="173"/>
      <c r="Q40" s="150"/>
      <c r="R40" s="150"/>
      <c r="S40" s="150"/>
      <c r="T40" s="150"/>
      <c r="U40" s="150"/>
      <c r="V40" s="150"/>
      <c r="W40" s="150"/>
    </row>
    <row r="41" spans="1:23" s="883" customFormat="1" ht="16.5" customHeight="1">
      <c r="A41" s="885" t="s">
        <v>2881</v>
      </c>
      <c r="B41" s="887"/>
      <c r="C41" s="887"/>
      <c r="D41" s="887"/>
      <c r="E41" s="884" t="s">
        <v>2882</v>
      </c>
      <c r="F41" s="884" t="s">
        <v>2880</v>
      </c>
      <c r="G41" s="1266">
        <f ca="1">(J65+I85+I106+I123+J155+I175)*$G$46</f>
        <v>2551.5088657953183</v>
      </c>
      <c r="H41" s="1267"/>
      <c r="I41" s="881" t="s">
        <v>2827</v>
      </c>
      <c r="L41" s="930"/>
      <c r="M41" s="885"/>
      <c r="N41" s="885"/>
      <c r="O41" s="886"/>
      <c r="P41" s="173">
        <f ca="1">G41/gAN</f>
        <v>11.936985713004868</v>
      </c>
      <c r="Q41" s="886"/>
      <c r="R41" s="886"/>
      <c r="S41" s="886"/>
      <c r="T41" s="886"/>
      <c r="U41" s="886"/>
      <c r="V41" s="886"/>
      <c r="W41" s="886"/>
    </row>
    <row r="42" spans="1:23" ht="16.2" customHeight="1">
      <c r="L42" s="1"/>
      <c r="M42" s="122"/>
      <c r="N42" s="122"/>
    </row>
    <row r="43" spans="1:23" ht="16.5" customHeight="1">
      <c r="A43" s="65" t="s">
        <v>2617</v>
      </c>
      <c r="B43" s="66"/>
      <c r="C43" s="66"/>
      <c r="D43" s="66"/>
      <c r="E43" s="66"/>
      <c r="F43" s="66"/>
      <c r="G43" s="66"/>
      <c r="H43" s="66"/>
      <c r="I43" s="66"/>
      <c r="J43" s="66"/>
      <c r="K43" s="66"/>
      <c r="L43" s="1"/>
      <c r="M43" s="122">
        <f>ROW(A44)</f>
        <v>44</v>
      </c>
      <c r="N43" s="122">
        <f>ROW(A90)</f>
        <v>90</v>
      </c>
    </row>
    <row r="44" spans="1:23" ht="6.75" customHeight="1">
      <c r="A44" s="19"/>
      <c r="L44" s="1"/>
      <c r="M44" s="122"/>
      <c r="N44" s="122"/>
      <c r="O44" s="18"/>
      <c r="P44" s="18"/>
      <c r="Q44" s="18"/>
      <c r="R44" s="18"/>
      <c r="S44" s="18"/>
      <c r="T44" s="18"/>
      <c r="U44" s="18"/>
      <c r="V44" s="18"/>
      <c r="W44" s="18"/>
    </row>
    <row r="45" spans="1:23" ht="16.5" customHeight="1" thickBot="1">
      <c r="A45" s="18" t="s">
        <v>202</v>
      </c>
      <c r="B45" s="1236"/>
      <c r="C45" s="1237"/>
      <c r="D45" s="1237"/>
      <c r="F45" s="16" t="s">
        <v>231</v>
      </c>
      <c r="G45" s="172">
        <f ca="1">G47*G46</f>
        <v>2671.85214</v>
      </c>
      <c r="H45" s="20" t="s">
        <v>201</v>
      </c>
      <c r="I45" s="20" t="s">
        <v>247</v>
      </c>
      <c r="J45" s="21"/>
      <c r="M45" s="123"/>
      <c r="N45" s="123"/>
      <c r="O45" s="66" t="s">
        <v>1096</v>
      </c>
      <c r="P45" s="66" t="s">
        <v>1097</v>
      </c>
      <c r="Q45" s="66" t="s">
        <v>1094</v>
      </c>
      <c r="R45" s="66" t="s">
        <v>1097</v>
      </c>
      <c r="S45" s="66" t="s">
        <v>1095</v>
      </c>
      <c r="T45" s="66" t="s">
        <v>1098</v>
      </c>
      <c r="U45" s="66" t="s">
        <v>1098</v>
      </c>
      <c r="V45" s="66" t="s">
        <v>1099</v>
      </c>
      <c r="W45" s="66" t="s">
        <v>1100</v>
      </c>
    </row>
    <row r="46" spans="1:23" ht="16.5" customHeight="1" thickTop="1">
      <c r="A46" s="18" t="s">
        <v>204</v>
      </c>
      <c r="B46" s="1228"/>
      <c r="C46" s="1229"/>
      <c r="D46" s="1229"/>
      <c r="F46" s="13" t="s">
        <v>232</v>
      </c>
      <c r="G46" s="171">
        <f ca="1">D11</f>
        <v>213.7481712</v>
      </c>
      <c r="H46" s="18" t="s">
        <v>230</v>
      </c>
      <c r="I46" s="18" t="s">
        <v>203</v>
      </c>
      <c r="J46" s="22"/>
      <c r="M46" s="123"/>
      <c r="N46" s="123"/>
      <c r="O46" s="66" t="s">
        <v>1086</v>
      </c>
      <c r="P46" s="66">
        <v>1</v>
      </c>
      <c r="Q46" s="173">
        <f>INDEX(Technik!$C$185:$M$209,$O$4,$P46)</f>
        <v>3</v>
      </c>
      <c r="T46" s="174" t="s">
        <v>1087</v>
      </c>
      <c r="U46" s="66">
        <v>1</v>
      </c>
      <c r="V46" s="175">
        <f ca="1">TW_d(Q46,U46,$G$46)</f>
        <v>4.6037628016000003</v>
      </c>
      <c r="W46" s="178" t="str">
        <f ca="1">CELL("Adresse",G52)</f>
        <v>$G$52</v>
      </c>
    </row>
    <row r="47" spans="1:23" ht="16.5" customHeight="1">
      <c r="F47" s="14" t="s">
        <v>233</v>
      </c>
      <c r="G47" s="167">
        <f>D16</f>
        <v>12.5</v>
      </c>
      <c r="H47" s="17" t="s">
        <v>221</v>
      </c>
      <c r="I47" s="17" t="s">
        <v>2933</v>
      </c>
      <c r="J47" s="15"/>
      <c r="M47" s="123"/>
      <c r="N47" s="123"/>
      <c r="O47" s="66" t="s">
        <v>1086</v>
      </c>
      <c r="P47" s="66">
        <v>1</v>
      </c>
      <c r="Q47" s="173">
        <f>INDEX(Technik!$C$185:$M$209,$O$4,$P47)</f>
        <v>3</v>
      </c>
      <c r="T47" s="174" t="s">
        <v>1088</v>
      </c>
      <c r="U47" s="66">
        <v>2</v>
      </c>
      <c r="V47" s="175">
        <f ca="1">TW_d(Q47,U47,$G$46)</f>
        <v>1</v>
      </c>
      <c r="W47" s="178" t="str">
        <f ca="1">CELL("Adresse",I52)</f>
        <v>$I$52</v>
      </c>
    </row>
    <row r="48" spans="1:23" ht="16.5" customHeight="1">
      <c r="A48" s="25" t="s">
        <v>205</v>
      </c>
      <c r="M48" s="123"/>
      <c r="N48" s="123"/>
      <c r="O48" s="66" t="s">
        <v>1086</v>
      </c>
      <c r="P48" s="66">
        <v>1</v>
      </c>
      <c r="Q48" s="173">
        <f>INDEX(Technik!$C$185:$M$209,$O$4,$P48)</f>
        <v>3</v>
      </c>
      <c r="T48" s="174" t="s">
        <v>1089</v>
      </c>
      <c r="U48" s="66">
        <v>3</v>
      </c>
      <c r="V48" s="175">
        <f ca="1">TW_d(Q48,U48,$G$46)</f>
        <v>0</v>
      </c>
      <c r="W48" s="178" t="str">
        <f ca="1">CELL("Adresse",H70)</f>
        <v>$H$70</v>
      </c>
    </row>
    <row r="49" spans="1:23" ht="16.5" customHeight="1">
      <c r="B49" s="60" t="s">
        <v>206</v>
      </c>
      <c r="C49" s="60"/>
      <c r="D49" s="60"/>
      <c r="F49" s="60" t="s">
        <v>207</v>
      </c>
      <c r="G49" s="24"/>
      <c r="M49" s="123"/>
      <c r="N49" s="123"/>
      <c r="O49" s="66" t="s">
        <v>1079</v>
      </c>
      <c r="P49" s="66">
        <v>2</v>
      </c>
      <c r="Q49" s="173">
        <f>INDEX(Technik!$C$185:$M$209,$O$4,$P49)</f>
        <v>7</v>
      </c>
      <c r="T49" s="174" t="s">
        <v>1087</v>
      </c>
      <c r="U49" s="66">
        <v>1</v>
      </c>
      <c r="V49" s="176">
        <f ca="1">TW_s(Q49,U49,$G$46)</f>
        <v>3.6625182879999998</v>
      </c>
      <c r="W49" s="178" t="str">
        <f ca="1">CELL("Adresse",G53)</f>
        <v>$G$53</v>
      </c>
    </row>
    <row r="50" spans="1:23" ht="16.5" customHeight="1">
      <c r="A50" s="18" t="s">
        <v>233</v>
      </c>
      <c r="B50" s="18" t="s">
        <v>2933</v>
      </c>
      <c r="F50" s="28" t="s">
        <v>208</v>
      </c>
      <c r="G50" s="75">
        <f>G47</f>
        <v>12.5</v>
      </c>
      <c r="I50" s="25" t="s">
        <v>210</v>
      </c>
      <c r="M50" s="123"/>
      <c r="N50" s="123"/>
      <c r="O50" s="66" t="s">
        <v>1079</v>
      </c>
      <c r="P50" s="66">
        <v>2</v>
      </c>
      <c r="Q50" s="173">
        <f>INDEX(Technik!$C$185:$M$209,$O$4,$P50)</f>
        <v>7</v>
      </c>
      <c r="T50" s="174" t="s">
        <v>1088</v>
      </c>
      <c r="U50" s="66">
        <v>2</v>
      </c>
      <c r="V50" s="176">
        <f ca="1">TW_s(Q50,U50,$G$46)</f>
        <v>0</v>
      </c>
      <c r="W50" s="178" t="str">
        <f ca="1">CELL("Adresse",I53)</f>
        <v>$I$53</v>
      </c>
    </row>
    <row r="51" spans="1:23" ht="16.5" customHeight="1">
      <c r="A51" s="18" t="s">
        <v>234</v>
      </c>
      <c r="B51" s="18" t="s">
        <v>209</v>
      </c>
      <c r="F51" s="28" t="s">
        <v>208</v>
      </c>
      <c r="G51" s="74">
        <v>0</v>
      </c>
      <c r="I51" s="18" t="s">
        <v>216</v>
      </c>
      <c r="M51" s="123"/>
      <c r="N51" s="123"/>
      <c r="O51" s="66" t="s">
        <v>1079</v>
      </c>
      <c r="P51" s="66">
        <v>2</v>
      </c>
      <c r="Q51" s="173">
        <f>INDEX(Technik!$C$185:$M$209,$O$4,$P51)</f>
        <v>7</v>
      </c>
      <c r="T51" s="174" t="s">
        <v>1089</v>
      </c>
      <c r="U51" s="66">
        <v>3</v>
      </c>
      <c r="V51" s="176">
        <f ca="1">TW_s(Q51,U51,$G$46)</f>
        <v>6.725036576E-2</v>
      </c>
      <c r="W51" s="178" t="str">
        <f ca="1">CELL("Adresse",H71)</f>
        <v>$H$71</v>
      </c>
    </row>
    <row r="52" spans="1:23" ht="16.5" customHeight="1">
      <c r="A52" s="18" t="s">
        <v>235</v>
      </c>
      <c r="B52" s="18" t="s">
        <v>211</v>
      </c>
      <c r="F52" s="28" t="s">
        <v>208</v>
      </c>
      <c r="G52" s="558">
        <v>4.6014400000000002</v>
      </c>
      <c r="H52" s="28" t="s">
        <v>237</v>
      </c>
      <c r="I52" s="559">
        <v>1</v>
      </c>
      <c r="J52" s="18" t="s">
        <v>213</v>
      </c>
      <c r="M52" s="123"/>
      <c r="N52" s="123"/>
      <c r="O52" s="66" t="s">
        <v>1064</v>
      </c>
      <c r="P52" s="66">
        <v>3</v>
      </c>
      <c r="Q52" s="173">
        <f>INDEX(Technik!$C$185:$M$209,$O$4,$P52)</f>
        <v>97</v>
      </c>
      <c r="R52" s="66">
        <v>7</v>
      </c>
      <c r="S52" s="173">
        <f>INDEX(Technik!$C$185:$M$209,$O$4,$R52)</f>
        <v>161</v>
      </c>
      <c r="T52" s="174" t="s">
        <v>1090</v>
      </c>
      <c r="U52" s="66">
        <v>11</v>
      </c>
      <c r="V52" s="177">
        <f ca="1">TW_g(Q52,S52,U52,$G$46)</f>
        <v>1</v>
      </c>
      <c r="W52" s="178" t="str">
        <f ca="1">CELL("Adresse",G59)</f>
        <v>$G$59</v>
      </c>
    </row>
    <row r="53" spans="1:23" ht="16.5" customHeight="1">
      <c r="A53" s="18" t="s">
        <v>236</v>
      </c>
      <c r="B53" s="18" t="s">
        <v>214</v>
      </c>
      <c r="F53" s="28" t="s">
        <v>208</v>
      </c>
      <c r="G53" s="558">
        <v>3.6591999999999998</v>
      </c>
      <c r="H53" s="28" t="s">
        <v>238</v>
      </c>
      <c r="I53" s="558">
        <v>0</v>
      </c>
      <c r="J53" s="18" t="s">
        <v>215</v>
      </c>
      <c r="M53" s="123"/>
      <c r="N53" s="123"/>
      <c r="O53" s="66" t="s">
        <v>1064</v>
      </c>
      <c r="P53" s="66">
        <v>3</v>
      </c>
      <c r="Q53" s="173">
        <f>INDEX(Technik!$C$185:$M$209,$O$4,$P53)</f>
        <v>97</v>
      </c>
      <c r="R53" s="66">
        <v>7</v>
      </c>
      <c r="S53" s="173">
        <f>INDEX(Technik!$C$185:$M$209,$O$4,$R53)</f>
        <v>161</v>
      </c>
      <c r="T53" s="174" t="s">
        <v>1091</v>
      </c>
      <c r="U53" s="66">
        <v>12</v>
      </c>
      <c r="V53" s="177">
        <f t="shared" ref="V53:V58" ca="1" si="0">TW_g(Q53,S53,U53,$G$46)</f>
        <v>0.3</v>
      </c>
      <c r="W53" s="178" t="str">
        <f ca="1">CELL("Adresse",G60)</f>
        <v>$G$60</v>
      </c>
    </row>
    <row r="54" spans="1:23" ht="16.5" customHeight="1">
      <c r="A54" s="18" t="s">
        <v>2369</v>
      </c>
      <c r="B54" s="503" t="s">
        <v>747</v>
      </c>
      <c r="F54" s="28" t="s">
        <v>208</v>
      </c>
      <c r="G54" s="168">
        <f>G50+G51+G52+G53</f>
        <v>20.760639999999999</v>
      </c>
      <c r="H54" s="28" t="s">
        <v>239</v>
      </c>
      <c r="I54" s="168">
        <f>I52+I53</f>
        <v>1</v>
      </c>
      <c r="J54" s="18" t="s">
        <v>246</v>
      </c>
      <c r="M54" s="123"/>
      <c r="N54" s="123"/>
      <c r="O54" s="66" t="s">
        <v>1064</v>
      </c>
      <c r="P54" s="66">
        <v>3</v>
      </c>
      <c r="Q54" s="173">
        <f>INDEX(Technik!$C$185:$M$209,$O$4,$P54)</f>
        <v>97</v>
      </c>
      <c r="R54" s="66">
        <v>7</v>
      </c>
      <c r="S54" s="173">
        <f>INDEX(Technik!$C$185:$M$209,$O$4,$R54)</f>
        <v>161</v>
      </c>
      <c r="T54" s="174" t="s">
        <v>1092</v>
      </c>
      <c r="U54" s="66">
        <v>13</v>
      </c>
      <c r="V54" s="177">
        <f t="shared" ca="1" si="0"/>
        <v>0</v>
      </c>
      <c r="W54" s="178" t="str">
        <f ca="1">CELL("Adresse",G77)</f>
        <v>$G$77</v>
      </c>
    </row>
    <row r="55" spans="1:23" ht="16.5" customHeight="1">
      <c r="F55" s="28"/>
      <c r="G55" s="24"/>
      <c r="H55" s="24"/>
      <c r="I55" s="24"/>
      <c r="M55" s="123"/>
      <c r="N55" s="123"/>
      <c r="O55" s="66" t="s">
        <v>1064</v>
      </c>
      <c r="P55" s="66">
        <v>3</v>
      </c>
      <c r="Q55" s="173">
        <f>INDEX(Technik!$C$185:$M$209,$O$4,$P55)</f>
        <v>97</v>
      </c>
      <c r="R55" s="66">
        <v>7</v>
      </c>
      <c r="S55" s="173">
        <f>INDEX(Technik!$C$185:$M$209,$O$4,$R55)</f>
        <v>161</v>
      </c>
      <c r="T55" s="174" t="s">
        <v>1093</v>
      </c>
      <c r="U55" s="66">
        <v>14</v>
      </c>
      <c r="V55" s="177">
        <f t="shared" ca="1" si="0"/>
        <v>1.8</v>
      </c>
      <c r="W55" s="178" t="str">
        <f ca="1">CELL("Adresse",G62)</f>
        <v>$G$62</v>
      </c>
    </row>
    <row r="56" spans="1:23" ht="6.6" customHeight="1">
      <c r="F56" s="28"/>
      <c r="G56" s="24"/>
      <c r="H56" s="24"/>
      <c r="I56" s="24"/>
      <c r="M56" s="123"/>
      <c r="N56" s="123"/>
      <c r="O56" s="66" t="s">
        <v>1064</v>
      </c>
      <c r="P56" s="66">
        <v>3</v>
      </c>
      <c r="Q56" s="173">
        <f>INDEX(Technik!$C$185:$M$209,$O$4,$P56)</f>
        <v>97</v>
      </c>
      <c r="R56" s="66">
        <v>7</v>
      </c>
      <c r="S56" s="173">
        <f>INDEX(Technik!$C$185:$M$209,$O$4,$R56)</f>
        <v>161</v>
      </c>
      <c r="T56" s="174" t="s">
        <v>1090</v>
      </c>
      <c r="U56" s="66">
        <v>21</v>
      </c>
      <c r="V56" s="177">
        <f t="shared" ca="1" si="0"/>
        <v>0</v>
      </c>
      <c r="W56" s="178" t="str">
        <f ca="1">CELL("Adresse",H59)</f>
        <v>$H$59</v>
      </c>
    </row>
    <row r="57" spans="1:23" ht="16.5" customHeight="1">
      <c r="F57" s="28"/>
      <c r="G57" s="24" t="s">
        <v>217</v>
      </c>
      <c r="H57" s="24" t="s">
        <v>217</v>
      </c>
      <c r="I57" s="24" t="s">
        <v>217</v>
      </c>
      <c r="M57" s="123"/>
      <c r="N57" s="123"/>
      <c r="O57" s="66" t="s">
        <v>1064</v>
      </c>
      <c r="P57" s="66">
        <v>3</v>
      </c>
      <c r="Q57" s="173">
        <f>INDEX(Technik!$C$185:$M$209,$O$4,$P57)</f>
        <v>97</v>
      </c>
      <c r="R57" s="66">
        <v>7</v>
      </c>
      <c r="S57" s="173">
        <f>INDEX(Technik!$C$185:$M$209,$O$4,$R57)</f>
        <v>161</v>
      </c>
      <c r="T57" s="174" t="s">
        <v>1091</v>
      </c>
      <c r="U57" s="66">
        <v>22</v>
      </c>
      <c r="V57" s="177">
        <f t="shared" ca="1" si="0"/>
        <v>0</v>
      </c>
      <c r="W57" s="178" t="str">
        <f ca="1">CELL("Adresse",H60)</f>
        <v>$H$60</v>
      </c>
    </row>
    <row r="58" spans="1:23" ht="16.5" customHeight="1">
      <c r="F58" s="28"/>
      <c r="G58" s="24">
        <v>1</v>
      </c>
      <c r="H58" s="24">
        <v>2</v>
      </c>
      <c r="I58" s="24">
        <v>3</v>
      </c>
      <c r="M58" s="123"/>
      <c r="N58" s="123"/>
      <c r="O58" s="66" t="s">
        <v>1064</v>
      </c>
      <c r="P58" s="66">
        <v>3</v>
      </c>
      <c r="Q58" s="173">
        <f>INDEX(Technik!$C$185:$M$209,$O$4,$P58)</f>
        <v>97</v>
      </c>
      <c r="R58" s="66">
        <v>7</v>
      </c>
      <c r="S58" s="173">
        <f>INDEX(Technik!$C$185:$M$209,$O$4,$R58)</f>
        <v>161</v>
      </c>
      <c r="T58" s="174" t="s">
        <v>1092</v>
      </c>
      <c r="U58" s="66">
        <v>23</v>
      </c>
      <c r="V58" s="177">
        <f t="shared" ca="1" si="0"/>
        <v>0</v>
      </c>
      <c r="W58" s="178" t="str">
        <f ca="1">CELL("Adresse",H77)</f>
        <v>$H$77</v>
      </c>
    </row>
    <row r="59" spans="1:23" ht="16.5" customHeight="1">
      <c r="A59" s="18" t="s">
        <v>241</v>
      </c>
      <c r="B59" s="18" t="s">
        <v>218</v>
      </c>
      <c r="F59" s="28" t="s">
        <v>242</v>
      </c>
      <c r="G59" s="559">
        <v>1</v>
      </c>
      <c r="H59" s="559">
        <v>0</v>
      </c>
      <c r="I59" s="559"/>
      <c r="M59" s="123"/>
      <c r="N59" s="123"/>
      <c r="O59" s="66" t="s">
        <v>1064</v>
      </c>
      <c r="P59" s="66">
        <v>3</v>
      </c>
      <c r="Q59" s="173">
        <f>INDEX(Technik!$C$185:$M$209,$O$4,$P59)</f>
        <v>97</v>
      </c>
      <c r="R59" s="66">
        <v>7</v>
      </c>
      <c r="S59" s="173">
        <f>INDEX(Technik!$C$185:$M$209,$O$4,$R59)</f>
        <v>161</v>
      </c>
      <c r="T59" s="174" t="s">
        <v>1093</v>
      </c>
      <c r="U59" s="66">
        <v>24</v>
      </c>
      <c r="V59" s="177">
        <f ca="1">TW_g(Q59,S59,U59,$G$46)</f>
        <v>0</v>
      </c>
      <c r="W59" s="178" t="str">
        <f ca="1">CELL("Adresse",H62)</f>
        <v>$H$62</v>
      </c>
    </row>
    <row r="60" spans="1:23" ht="16.5" customHeight="1">
      <c r="A60" s="18" t="s">
        <v>240</v>
      </c>
      <c r="B60" s="18" t="s">
        <v>220</v>
      </c>
      <c r="F60" s="28" t="s">
        <v>242</v>
      </c>
      <c r="G60" s="558">
        <v>0.3</v>
      </c>
      <c r="H60" s="558">
        <v>0</v>
      </c>
      <c r="I60" s="558"/>
      <c r="J60" s="18" t="s">
        <v>739</v>
      </c>
      <c r="K60" s="25"/>
      <c r="M60" s="123"/>
      <c r="N60" s="123"/>
      <c r="V60" s="502">
        <f>stfPStrom</f>
        <v>1.8</v>
      </c>
      <c r="W60" s="178" t="str">
        <f ca="1">CELL("Adresse",twVal13)</f>
        <v>$H$82</v>
      </c>
    </row>
    <row r="61" spans="1:23" ht="16.5" customHeight="1">
      <c r="A61" s="18" t="s">
        <v>243</v>
      </c>
      <c r="B61" s="18" t="s">
        <v>2370</v>
      </c>
      <c r="F61" s="28" t="s">
        <v>208</v>
      </c>
      <c r="G61" s="74">
        <f>$G$54*G59*G60</f>
        <v>6.2281919999999991</v>
      </c>
      <c r="H61" s="74">
        <f>$G$54*H59*H60</f>
        <v>0</v>
      </c>
      <c r="I61" s="74">
        <f>$G$54*I59*I60</f>
        <v>0</v>
      </c>
      <c r="J61" s="936">
        <f>SUM(G61:I61)</f>
        <v>6.2281919999999991</v>
      </c>
      <c r="K61" s="25"/>
      <c r="M61" s="123"/>
      <c r="N61" s="123"/>
      <c r="O61" s="66" t="s">
        <v>1064</v>
      </c>
      <c r="P61" s="66">
        <v>3</v>
      </c>
      <c r="Q61" s="173">
        <f>INDEX(Technik!$C$185:$M$209,$O$4,$P61)</f>
        <v>97</v>
      </c>
      <c r="R61" s="66">
        <v>7</v>
      </c>
      <c r="S61" s="173">
        <f>INDEX(Technik!$C$185:$M$209,$O$4,$R61)</f>
        <v>161</v>
      </c>
      <c r="T61" s="174" t="s">
        <v>2828</v>
      </c>
      <c r="U61" s="66">
        <v>15</v>
      </c>
      <c r="V61" s="177">
        <f ca="1">TW_g(Q61,S61,U61,$G$46)</f>
        <v>0.56000000000000005</v>
      </c>
      <c r="W61" s="178" t="str">
        <f ca="1">CELL("Adresse",G64)</f>
        <v>$G$64</v>
      </c>
    </row>
    <row r="62" spans="1:23" ht="16.5" customHeight="1">
      <c r="A62" s="18" t="s">
        <v>244</v>
      </c>
      <c r="B62" s="18" t="s">
        <v>222</v>
      </c>
      <c r="F62" s="28" t="s">
        <v>242</v>
      </c>
      <c r="G62" s="559">
        <v>1.8</v>
      </c>
      <c r="H62" s="559">
        <v>0</v>
      </c>
      <c r="I62" s="559"/>
      <c r="J62" s="18" t="s">
        <v>734</v>
      </c>
      <c r="K62" s="25"/>
      <c r="L62" s="25"/>
      <c r="M62" s="123"/>
      <c r="N62" s="123"/>
      <c r="O62" s="66" t="s">
        <v>1064</v>
      </c>
      <c r="P62" s="66">
        <v>3</v>
      </c>
      <c r="Q62" s="173">
        <f>INDEX(Technik!$C$185:$M$209,$O$4,$P62)</f>
        <v>97</v>
      </c>
      <c r="R62" s="66">
        <v>7</v>
      </c>
      <c r="S62" s="173">
        <f>INDEX(Technik!$C$185:$M$209,$O$4,$R62)</f>
        <v>161</v>
      </c>
      <c r="T62" s="174" t="s">
        <v>2828</v>
      </c>
      <c r="U62" s="66">
        <v>25</v>
      </c>
      <c r="V62" s="177">
        <f ca="1">TW_g(Q62,S62,U62,$G$46)</f>
        <v>0</v>
      </c>
      <c r="W62" s="178" t="str">
        <f ca="1">CELL("Adresse",H64)</f>
        <v>$H$64</v>
      </c>
    </row>
    <row r="63" spans="1:23" ht="16.5" customHeight="1">
      <c r="A63" s="18" t="s">
        <v>245</v>
      </c>
      <c r="B63" s="18" t="s">
        <v>248</v>
      </c>
      <c r="F63" s="28" t="s">
        <v>208</v>
      </c>
      <c r="G63" s="169">
        <f>G61*G62</f>
        <v>11.210745599999999</v>
      </c>
      <c r="H63" s="169">
        <f>H61*H62</f>
        <v>0</v>
      </c>
      <c r="I63" s="169">
        <f>I61*I62</f>
        <v>0</v>
      </c>
      <c r="J63" s="936">
        <f>SUM(G63:I63)</f>
        <v>11.210745599999999</v>
      </c>
      <c r="K63" s="25"/>
      <c r="M63" s="123"/>
      <c r="N63" s="123"/>
      <c r="V63" s="502">
        <v>0.56000000000000005</v>
      </c>
      <c r="W63" s="178" t="str">
        <f ca="1">CELL("Adresse",H84)</f>
        <v>$H$84</v>
      </c>
    </row>
    <row r="64" spans="1:23" s="881" customFormat="1" ht="16.5" customHeight="1">
      <c r="A64" s="881" t="s">
        <v>2829</v>
      </c>
      <c r="B64" s="881" t="s">
        <v>2826</v>
      </c>
      <c r="F64" s="882" t="s">
        <v>2824</v>
      </c>
      <c r="G64" s="939">
        <v>0.56000000000000005</v>
      </c>
      <c r="H64" s="939">
        <v>0</v>
      </c>
      <c r="I64" s="939"/>
      <c r="J64" s="881" t="s">
        <v>2827</v>
      </c>
      <c r="K64" s="883"/>
      <c r="O64" s="138"/>
      <c r="P64" s="138"/>
      <c r="Q64" s="138"/>
      <c r="R64" s="138"/>
      <c r="S64" s="138"/>
      <c r="T64" s="138"/>
      <c r="U64" s="138"/>
      <c r="V64" s="138"/>
      <c r="W64" s="138"/>
    </row>
    <row r="65" spans="1:23" s="881" customFormat="1" ht="16.5" customHeight="1">
      <c r="A65" s="881" t="s">
        <v>2883</v>
      </c>
      <c r="B65" s="881" t="s">
        <v>2950</v>
      </c>
      <c r="F65" s="882" t="s">
        <v>2823</v>
      </c>
      <c r="G65" s="940">
        <f>G61*G64</f>
        <v>3.4877875199999999</v>
      </c>
      <c r="H65" s="940">
        <f>H61*H64</f>
        <v>0</v>
      </c>
      <c r="I65" s="940">
        <f>I61*I64</f>
        <v>0</v>
      </c>
      <c r="J65" s="938">
        <f>SUM(G65:I65)</f>
        <v>3.4877875199999999</v>
      </c>
      <c r="K65" s="883"/>
      <c r="O65" s="138"/>
      <c r="P65" s="138"/>
      <c r="Q65" s="138"/>
      <c r="R65" s="138"/>
      <c r="S65" s="138"/>
      <c r="T65" s="138"/>
      <c r="U65" s="138"/>
      <c r="V65" s="138"/>
      <c r="W65" s="138"/>
    </row>
    <row r="66" spans="1:23" ht="6.6" customHeight="1">
      <c r="F66" s="28"/>
      <c r="G66" s="24"/>
      <c r="H66" s="24"/>
      <c r="I66" s="24"/>
      <c r="M66" s="123"/>
      <c r="N66" s="123"/>
    </row>
    <row r="67" spans="1:23" ht="16.5" customHeight="1">
      <c r="A67" s="25" t="s">
        <v>223</v>
      </c>
      <c r="F67" s="28"/>
      <c r="G67" s="24"/>
      <c r="H67" s="24"/>
      <c r="I67" s="24"/>
      <c r="M67" s="123"/>
      <c r="N67" s="123"/>
    </row>
    <row r="68" spans="1:23" ht="16.5" customHeight="1">
      <c r="B68" s="60" t="s">
        <v>206</v>
      </c>
      <c r="C68" s="60"/>
      <c r="D68" s="60"/>
      <c r="F68" s="67" t="s">
        <v>207</v>
      </c>
      <c r="G68" s="24"/>
      <c r="H68" s="24"/>
      <c r="I68" s="24"/>
      <c r="M68" s="123"/>
      <c r="N68" s="123"/>
    </row>
    <row r="69" spans="1:23" ht="16.5" customHeight="1">
      <c r="A69" s="18" t="s">
        <v>249</v>
      </c>
      <c r="B69" s="18" t="s">
        <v>209</v>
      </c>
      <c r="F69" s="28" t="s">
        <v>208</v>
      </c>
      <c r="G69" s="24"/>
      <c r="H69" s="75">
        <v>0</v>
      </c>
      <c r="I69" s="24"/>
      <c r="M69" s="123"/>
      <c r="N69" s="123"/>
    </row>
    <row r="70" spans="1:23" ht="16.5" customHeight="1">
      <c r="A70" s="18" t="s">
        <v>250</v>
      </c>
      <c r="B70" s="18" t="s">
        <v>224</v>
      </c>
      <c r="F70" s="28" t="s">
        <v>208</v>
      </c>
      <c r="G70" s="24"/>
      <c r="H70" s="558">
        <v>0</v>
      </c>
      <c r="I70" s="24"/>
      <c r="M70" s="123"/>
      <c r="N70" s="123"/>
    </row>
    <row r="71" spans="1:23" ht="16.5" customHeight="1">
      <c r="A71" s="18" t="s">
        <v>251</v>
      </c>
      <c r="B71" s="18" t="s">
        <v>225</v>
      </c>
      <c r="F71" s="28" t="s">
        <v>208</v>
      </c>
      <c r="G71" s="24"/>
      <c r="H71" s="560">
        <v>6.7183999999999994E-2</v>
      </c>
      <c r="I71" s="24"/>
      <c r="M71" s="123"/>
      <c r="N71" s="123"/>
    </row>
    <row r="72" spans="1:23" ht="16.5" customHeight="1">
      <c r="F72" s="28"/>
      <c r="G72" s="24"/>
      <c r="H72" s="24"/>
      <c r="I72" s="24"/>
      <c r="M72" s="123"/>
      <c r="N72" s="123"/>
    </row>
    <row r="73" spans="1:23" ht="16.5" customHeight="1">
      <c r="F73" s="28"/>
      <c r="G73" s="24"/>
      <c r="H73" s="24"/>
      <c r="I73" s="24"/>
      <c r="M73" s="123"/>
      <c r="N73" s="123"/>
    </row>
    <row r="74" spans="1:23" ht="16.5" customHeight="1">
      <c r="F74" s="28"/>
      <c r="G74" s="24" t="s">
        <v>217</v>
      </c>
      <c r="H74" s="24" t="s">
        <v>217</v>
      </c>
      <c r="I74" s="24" t="s">
        <v>217</v>
      </c>
      <c r="M74" s="123"/>
      <c r="N74" s="123"/>
    </row>
    <row r="75" spans="1:23" ht="16.5" customHeight="1">
      <c r="F75" s="28"/>
      <c r="G75" s="24">
        <v>1</v>
      </c>
      <c r="H75" s="24">
        <v>2</v>
      </c>
      <c r="I75" s="24">
        <v>3</v>
      </c>
      <c r="M75" s="123"/>
      <c r="N75" s="123"/>
    </row>
    <row r="76" spans="1:23" ht="16.5" customHeight="1">
      <c r="A76" s="18" t="s">
        <v>241</v>
      </c>
      <c r="B76" s="18" t="s">
        <v>218</v>
      </c>
      <c r="F76" s="28" t="s">
        <v>242</v>
      </c>
      <c r="G76" s="75">
        <f>G59</f>
        <v>1</v>
      </c>
      <c r="H76" s="75">
        <f>H59</f>
        <v>0</v>
      </c>
      <c r="I76" s="75">
        <f>I59</f>
        <v>0</v>
      </c>
      <c r="M76" s="123"/>
      <c r="N76" s="123"/>
    </row>
    <row r="77" spans="1:23" ht="16.5" customHeight="1">
      <c r="A77" s="18" t="s">
        <v>252</v>
      </c>
      <c r="B77" s="18" t="s">
        <v>226</v>
      </c>
      <c r="F77" s="28" t="s">
        <v>208</v>
      </c>
      <c r="G77" s="558">
        <v>0</v>
      </c>
      <c r="H77" s="558">
        <v>0</v>
      </c>
      <c r="I77" s="558"/>
      <c r="M77" s="123"/>
      <c r="N77" s="123"/>
    </row>
    <row r="78" spans="1:23" ht="16.5" customHeight="1">
      <c r="A78" s="18" t="s">
        <v>254</v>
      </c>
      <c r="B78" s="18" t="s">
        <v>253</v>
      </c>
      <c r="F78" s="28" t="s">
        <v>208</v>
      </c>
      <c r="G78" s="169">
        <f>G76*G77</f>
        <v>0</v>
      </c>
      <c r="H78" s="169">
        <f>H76*H77</f>
        <v>0</v>
      </c>
      <c r="I78" s="169">
        <f>I76*I77</f>
        <v>0</v>
      </c>
      <c r="M78" s="123"/>
      <c r="N78" s="123"/>
    </row>
    <row r="79" spans="1:23" ht="16.5" customHeight="1">
      <c r="F79" s="28"/>
      <c r="G79" s="24"/>
      <c r="H79" s="24"/>
      <c r="I79" s="24"/>
      <c r="M79" s="123"/>
      <c r="N79" s="123"/>
    </row>
    <row r="80" spans="1:23" ht="16.5" customHeight="1">
      <c r="F80" s="28"/>
      <c r="G80" s="24"/>
      <c r="H80" s="24"/>
      <c r="I80" s="24"/>
      <c r="K80" s="25"/>
      <c r="M80" s="123"/>
      <c r="N80" s="123"/>
    </row>
    <row r="81" spans="1:23" ht="33" customHeight="1">
      <c r="A81" s="18" t="s">
        <v>255</v>
      </c>
      <c r="B81" s="1239" t="s">
        <v>792</v>
      </c>
      <c r="C81" s="1239"/>
      <c r="D81" s="1239"/>
      <c r="F81" s="28" t="s">
        <v>208</v>
      </c>
      <c r="G81" s="170"/>
      <c r="H81" s="75">
        <f>SUM(G78:I78)+SUM(H69:H71)</f>
        <v>6.7183999999999994E-2</v>
      </c>
      <c r="I81" s="936">
        <f>H81</f>
        <v>6.7183999999999994E-2</v>
      </c>
      <c r="J81" s="18" t="s">
        <v>739</v>
      </c>
      <c r="K81" s="25"/>
      <c r="M81" s="123"/>
      <c r="N81" s="123"/>
    </row>
    <row r="82" spans="1:23" ht="16.5" customHeight="1">
      <c r="A82" s="18" t="s">
        <v>256</v>
      </c>
      <c r="B82" s="18" t="s">
        <v>222</v>
      </c>
      <c r="F82" s="28" t="s">
        <v>242</v>
      </c>
      <c r="G82" s="170"/>
      <c r="H82" s="559">
        <v>1.8</v>
      </c>
      <c r="I82" s="937"/>
      <c r="K82" s="25"/>
      <c r="M82" s="123"/>
      <c r="N82" s="123"/>
    </row>
    <row r="83" spans="1:23" ht="16.5" customHeight="1">
      <c r="A83" s="18" t="s">
        <v>257</v>
      </c>
      <c r="B83" s="18" t="s">
        <v>259</v>
      </c>
      <c r="F83" s="28" t="s">
        <v>208</v>
      </c>
      <c r="G83" s="170"/>
      <c r="H83" s="169">
        <f>H81*H82</f>
        <v>0.12093119999999999</v>
      </c>
      <c r="I83" s="936">
        <f>H83</f>
        <v>0.12093119999999999</v>
      </c>
      <c r="J83" s="18" t="s">
        <v>734</v>
      </c>
      <c r="K83" s="25"/>
      <c r="M83" s="123"/>
      <c r="N83" s="123"/>
    </row>
    <row r="84" spans="1:23" s="881" customFormat="1" ht="16.5" customHeight="1">
      <c r="A84" s="881" t="s">
        <v>2825</v>
      </c>
      <c r="B84" s="881" t="s">
        <v>2826</v>
      </c>
      <c r="F84" s="882" t="s">
        <v>2824</v>
      </c>
      <c r="G84" s="170"/>
      <c r="H84" s="939">
        <v>0.56000000000000005</v>
      </c>
      <c r="I84" s="937"/>
      <c r="J84" s="18"/>
      <c r="K84" s="883"/>
      <c r="O84" s="138"/>
      <c r="P84" s="138"/>
      <c r="Q84" s="138"/>
      <c r="R84" s="138"/>
      <c r="S84" s="138"/>
      <c r="T84" s="138"/>
      <c r="U84" s="138"/>
      <c r="V84" s="138"/>
      <c r="W84" s="138"/>
    </row>
    <row r="85" spans="1:23" s="881" customFormat="1" ht="16.5" customHeight="1">
      <c r="A85" s="881" t="s">
        <v>2884</v>
      </c>
      <c r="B85" s="881" t="s">
        <v>2951</v>
      </c>
      <c r="F85" s="882" t="s">
        <v>2823</v>
      </c>
      <c r="G85" s="170"/>
      <c r="H85" s="940">
        <f>H81*H84</f>
        <v>3.7623040000000003E-2</v>
      </c>
      <c r="I85" s="938">
        <f>H85</f>
        <v>3.7623040000000003E-2</v>
      </c>
      <c r="J85" s="881" t="s">
        <v>2827</v>
      </c>
      <c r="K85" s="883"/>
      <c r="O85" s="138"/>
      <c r="P85" s="138"/>
      <c r="Q85" s="138"/>
      <c r="R85" s="138"/>
      <c r="S85" s="138"/>
      <c r="T85" s="138"/>
      <c r="U85" s="138"/>
      <c r="V85" s="138"/>
      <c r="W85" s="138"/>
    </row>
    <row r="86" spans="1:23" ht="16.5" customHeight="1">
      <c r="F86" s="28"/>
      <c r="G86" s="134"/>
      <c r="H86" s="134"/>
      <c r="M86" s="123"/>
      <c r="N86" s="123"/>
    </row>
    <row r="87" spans="1:23" ht="16.5" customHeight="1">
      <c r="A87" s="25" t="s">
        <v>298</v>
      </c>
      <c r="F87" s="28"/>
      <c r="G87" s="134"/>
      <c r="H87" s="134"/>
      <c r="M87" s="123"/>
      <c r="N87" s="123"/>
    </row>
    <row r="88" spans="1:23" ht="16.5" customHeight="1">
      <c r="A88" s="18" t="s">
        <v>749</v>
      </c>
      <c r="B88" s="18" t="s">
        <v>750</v>
      </c>
      <c r="F88" s="28" t="s">
        <v>227</v>
      </c>
      <c r="G88" s="1252">
        <f ca="1">J61*$G$46</f>
        <v>1331.2646498824702</v>
      </c>
      <c r="H88" s="1253"/>
      <c r="I88" s="18" t="s">
        <v>201</v>
      </c>
      <c r="J88" s="18" t="s">
        <v>228</v>
      </c>
      <c r="M88" s="123"/>
      <c r="N88" s="123"/>
    </row>
    <row r="89" spans="1:23" ht="16.5" customHeight="1">
      <c r="A89" s="18" t="s">
        <v>1957</v>
      </c>
      <c r="B89" s="18" t="s">
        <v>751</v>
      </c>
      <c r="F89" s="28" t="s">
        <v>260</v>
      </c>
      <c r="G89" s="1252">
        <f ca="1">I81*$G$46</f>
        <v>14.360457133900798</v>
      </c>
      <c r="H89" s="1253"/>
      <c r="I89" s="18" t="s">
        <v>201</v>
      </c>
      <c r="M89" s="123"/>
      <c r="N89" s="123"/>
    </row>
    <row r="90" spans="1:23" s="25" customFormat="1" ht="16.5" customHeight="1">
      <c r="A90" s="25" t="s">
        <v>258</v>
      </c>
      <c r="B90" s="25" t="s">
        <v>294</v>
      </c>
      <c r="F90" s="68"/>
      <c r="G90" s="1262">
        <f ca="1">(J63+I83)*$G$46</f>
        <v>2422.1251926294681</v>
      </c>
      <c r="H90" s="1263"/>
      <c r="I90" s="25" t="s">
        <v>201</v>
      </c>
      <c r="J90" s="25" t="s">
        <v>229</v>
      </c>
      <c r="M90" s="125"/>
      <c r="N90" s="125"/>
      <c r="O90" s="150"/>
      <c r="P90" s="150"/>
      <c r="Q90" s="150"/>
      <c r="R90" s="150"/>
      <c r="S90" s="150"/>
      <c r="T90" s="150"/>
      <c r="U90" s="150"/>
      <c r="V90" s="150"/>
      <c r="W90" s="150"/>
    </row>
    <row r="91" spans="1:23" ht="16.5" customHeight="1">
      <c r="E91" s="28"/>
      <c r="L91" s="1"/>
      <c r="M91" s="122"/>
      <c r="N91" s="122"/>
    </row>
    <row r="92" spans="1:23" ht="16.5" customHeight="1">
      <c r="A92" s="65" t="s">
        <v>300</v>
      </c>
      <c r="B92" s="66"/>
      <c r="C92" s="66"/>
      <c r="D92" s="66"/>
      <c r="E92" s="69"/>
      <c r="F92" s="66"/>
      <c r="G92" s="66"/>
      <c r="H92" s="66"/>
      <c r="I92" s="66"/>
      <c r="J92" s="66"/>
      <c r="K92" s="66"/>
      <c r="L92" s="1"/>
      <c r="M92" s="122">
        <f>ROW(A93)</f>
        <v>93</v>
      </c>
      <c r="N92" s="122">
        <f>ROW(A129)</f>
        <v>129</v>
      </c>
    </row>
    <row r="93" spans="1:23" ht="6.75" customHeight="1">
      <c r="A93" s="19"/>
      <c r="E93" s="28"/>
      <c r="L93" s="1"/>
      <c r="M93" s="122"/>
      <c r="N93" s="122"/>
      <c r="O93" s="18"/>
      <c r="P93" s="18"/>
      <c r="Q93" s="18"/>
      <c r="R93" s="18"/>
      <c r="S93" s="18"/>
      <c r="T93" s="18"/>
      <c r="U93" s="18"/>
      <c r="V93" s="18"/>
      <c r="W93" s="18"/>
    </row>
    <row r="94" spans="1:23" ht="16.5" customHeight="1" thickBot="1">
      <c r="A94" s="18" t="s">
        <v>202</v>
      </c>
      <c r="B94" s="1236"/>
      <c r="C94" s="1237"/>
      <c r="D94" s="1237"/>
      <c r="E94" s="28"/>
      <c r="F94" s="16" t="s">
        <v>262</v>
      </c>
      <c r="G94" s="172">
        <f ca="1">D11</f>
        <v>213.7481712</v>
      </c>
      <c r="H94" s="20" t="s">
        <v>230</v>
      </c>
      <c r="I94" s="20" t="s">
        <v>263</v>
      </c>
      <c r="J94" s="20"/>
      <c r="K94" s="21"/>
      <c r="M94" s="785" t="s">
        <v>2631</v>
      </c>
      <c r="N94" s="123"/>
      <c r="O94" s="66" t="s">
        <v>1096</v>
      </c>
      <c r="P94" s="66" t="s">
        <v>1097</v>
      </c>
      <c r="Q94" s="66" t="s">
        <v>1094</v>
      </c>
      <c r="T94" s="66" t="s">
        <v>1098</v>
      </c>
      <c r="U94" s="66" t="s">
        <v>1098</v>
      </c>
      <c r="V94" s="66" t="s">
        <v>1099</v>
      </c>
      <c r="W94" s="66" t="s">
        <v>1100</v>
      </c>
    </row>
    <row r="95" spans="1:23" ht="16.5" customHeight="1" thickTop="1">
      <c r="A95" s="18" t="s">
        <v>204</v>
      </c>
      <c r="B95" s="1228"/>
      <c r="C95" s="1229"/>
      <c r="D95" s="1229"/>
      <c r="E95" s="28"/>
      <c r="F95" s="821" t="s">
        <v>2655</v>
      </c>
      <c r="G95" s="822"/>
      <c r="H95" s="785" t="s">
        <v>264</v>
      </c>
      <c r="I95" s="785" t="s">
        <v>265</v>
      </c>
      <c r="J95" s="785"/>
      <c r="K95" s="823"/>
      <c r="M95" s="785" t="s">
        <v>2632</v>
      </c>
      <c r="N95" s="123"/>
      <c r="O95" s="66" t="s">
        <v>1133</v>
      </c>
      <c r="P95" s="66">
        <v>8</v>
      </c>
      <c r="Q95" s="173">
        <f>INDEX(Technik!$C$185:$M$209,$O$4,$P95)</f>
        <v>7</v>
      </c>
      <c r="T95" s="174" t="s">
        <v>1138</v>
      </c>
      <c r="U95" s="66">
        <v>1</v>
      </c>
      <c r="V95" s="189">
        <f>L_c(Q95,U95,$G$46)</f>
        <v>0</v>
      </c>
      <c r="W95" s="178" t="str">
        <f ca="1">CELL("Adresse",I109)</f>
        <v>$I$109</v>
      </c>
    </row>
    <row r="96" spans="1:23" ht="16.5" customHeight="1">
      <c r="E96" s="28"/>
      <c r="F96" s="13" t="s">
        <v>740</v>
      </c>
      <c r="G96" s="134">
        <v>0.4</v>
      </c>
      <c r="H96" s="18" t="s">
        <v>266</v>
      </c>
      <c r="K96" s="22"/>
      <c r="M96" s="785" t="s">
        <v>2633</v>
      </c>
      <c r="N96" s="123"/>
      <c r="O96" s="66" t="s">
        <v>1086</v>
      </c>
      <c r="P96" s="66">
        <v>9</v>
      </c>
      <c r="Q96" s="173">
        <f>INDEX(Technik!$C$185:$M$209,$O$4,$P96)</f>
        <v>32</v>
      </c>
      <c r="T96" s="174" t="s">
        <v>1138</v>
      </c>
      <c r="U96" s="66">
        <v>1</v>
      </c>
      <c r="V96" s="176">
        <f ca="1">L_d(Q96,U96,$G$46)</f>
        <v>0</v>
      </c>
      <c r="W96" s="178" t="str">
        <f ca="1">CELL("Adresse",I110)</f>
        <v>$I$110</v>
      </c>
    </row>
    <row r="97" spans="1:23" ht="16.5" customHeight="1">
      <c r="E97" s="28"/>
      <c r="F97" s="14" t="s">
        <v>741</v>
      </c>
      <c r="G97" s="561"/>
      <c r="H97" s="17" t="s">
        <v>242</v>
      </c>
      <c r="I97" s="17" t="s">
        <v>267</v>
      </c>
      <c r="J97" s="17"/>
      <c r="K97" s="15"/>
      <c r="M97" s="123"/>
      <c r="N97" s="123"/>
      <c r="O97" s="66" t="s">
        <v>1064</v>
      </c>
      <c r="P97" s="66">
        <v>10</v>
      </c>
      <c r="Q97" s="173">
        <f>INDEX(Technik!$C$185:$M$209,$O$4,$P97)</f>
        <v>13</v>
      </c>
      <c r="T97" s="174" t="s">
        <v>1139</v>
      </c>
      <c r="U97" s="66">
        <v>1</v>
      </c>
      <c r="V97" s="177">
        <f>L_g(Q97,U97,$G$94,G16,G96)</f>
        <v>17.2</v>
      </c>
      <c r="W97" s="178" t="str">
        <f ca="1">CELL("Adresse",F100)</f>
        <v>$F$100</v>
      </c>
    </row>
    <row r="98" spans="1:23" ht="16.5" customHeight="1">
      <c r="A98" s="25" t="s">
        <v>268</v>
      </c>
      <c r="E98" s="28"/>
      <c r="M98" s="123"/>
      <c r="N98" s="123"/>
      <c r="O98" s="66" t="s">
        <v>1064</v>
      </c>
      <c r="P98" s="66">
        <v>10</v>
      </c>
      <c r="Q98" s="173">
        <f>INDEX(Technik!$C$185:$M$209,$O$4,$P98)</f>
        <v>13</v>
      </c>
      <c r="T98" s="174" t="s">
        <v>1140</v>
      </c>
      <c r="U98" s="66">
        <v>2</v>
      </c>
      <c r="V98" s="177">
        <f>L_g(Q98,U98,$G$94,G17,G97)</f>
        <v>0</v>
      </c>
      <c r="W98" s="178" t="s">
        <v>428</v>
      </c>
    </row>
    <row r="99" spans="1:23" ht="38.25" customHeight="1">
      <c r="B99" s="60" t="s">
        <v>269</v>
      </c>
      <c r="C99" s="60"/>
      <c r="D99" s="60"/>
      <c r="E99" s="67" t="s">
        <v>207</v>
      </c>
      <c r="F99" s="71" t="s">
        <v>271</v>
      </c>
      <c r="G99" s="71" t="s">
        <v>272</v>
      </c>
      <c r="H99" s="71" t="s">
        <v>752</v>
      </c>
      <c r="I99" s="71" t="s">
        <v>342</v>
      </c>
      <c r="K99" s="71"/>
      <c r="M99" s="123"/>
      <c r="N99" s="123"/>
      <c r="O99" s="66" t="s">
        <v>1064</v>
      </c>
      <c r="P99" s="66">
        <v>10</v>
      </c>
      <c r="Q99" s="173">
        <f>INDEX(Technik!$C$185:$M$209,$O$4,$P99)</f>
        <v>13</v>
      </c>
      <c r="T99" s="174" t="s">
        <v>1141</v>
      </c>
      <c r="U99" s="66">
        <v>3</v>
      </c>
      <c r="V99" s="177">
        <f>L_g(Q99,U99,$G$94,$G$16,G96)</f>
        <v>2.6</v>
      </c>
      <c r="W99" s="178" t="str">
        <f ca="1">CELL("Adresse",F116)</f>
        <v>$F$116</v>
      </c>
    </row>
    <row r="100" spans="1:23" ht="16.5" customHeight="1">
      <c r="A100" s="18" t="s">
        <v>280</v>
      </c>
      <c r="B100" s="18" t="s">
        <v>2670</v>
      </c>
      <c r="E100" s="28" t="s">
        <v>208</v>
      </c>
      <c r="F100" s="562">
        <v>0</v>
      </c>
      <c r="G100" s="559">
        <v>0</v>
      </c>
      <c r="H100" s="559">
        <v>0</v>
      </c>
      <c r="I100" s="24">
        <f>SUM(F100:H100)</f>
        <v>0</v>
      </c>
      <c r="J100" s="18" t="s">
        <v>753</v>
      </c>
      <c r="M100" s="123"/>
      <c r="N100" s="123"/>
      <c r="O100" s="66" t="s">
        <v>1064</v>
      </c>
      <c r="P100" s="66">
        <v>10</v>
      </c>
      <c r="Q100" s="173">
        <f>INDEX(Technik!$C$185:$M$209,$O$4,$P100)</f>
        <v>13</v>
      </c>
      <c r="T100" s="174" t="s">
        <v>1147</v>
      </c>
      <c r="U100" s="66">
        <v>4</v>
      </c>
      <c r="V100" s="177">
        <f t="shared" ref="V100:V105" si="1">L_g(Q100,U100,$G$94,$G$16,G97)</f>
        <v>0</v>
      </c>
      <c r="W100" s="178" t="str">
        <f ca="1">CELL("Adresse",G100)</f>
        <v>$G$100</v>
      </c>
    </row>
    <row r="101" spans="1:23" ht="16.5" customHeight="1">
      <c r="A101" s="18" t="s">
        <v>281</v>
      </c>
      <c r="B101" s="18" t="s">
        <v>273</v>
      </c>
      <c r="E101" s="28" t="s">
        <v>242</v>
      </c>
      <c r="G101" s="558">
        <v>0</v>
      </c>
      <c r="H101" s="558">
        <v>0</v>
      </c>
      <c r="K101" s="71"/>
      <c r="M101" s="123"/>
      <c r="N101" s="123"/>
      <c r="O101" s="66" t="s">
        <v>1064</v>
      </c>
      <c r="P101" s="66">
        <v>10</v>
      </c>
      <c r="Q101" s="173">
        <f>INDEX(Technik!$C$185:$M$209,$O$4,$P101)</f>
        <v>13</v>
      </c>
      <c r="S101" s="173"/>
      <c r="T101" s="174" t="s">
        <v>1146</v>
      </c>
      <c r="U101" s="66">
        <v>5</v>
      </c>
      <c r="V101" s="177">
        <f t="shared" si="1"/>
        <v>0</v>
      </c>
      <c r="W101" s="178" t="str">
        <f ca="1">CELL("Adresse",G101)</f>
        <v>$G$101</v>
      </c>
    </row>
    <row r="102" spans="1:23" ht="16.5" customHeight="1">
      <c r="A102" s="18" t="s">
        <v>284</v>
      </c>
      <c r="B102" s="18" t="s">
        <v>285</v>
      </c>
      <c r="E102" s="28" t="s">
        <v>208</v>
      </c>
      <c r="G102" s="74">
        <f>G100*G101</f>
        <v>0</v>
      </c>
      <c r="H102" s="74">
        <f>H100*H101</f>
        <v>0</v>
      </c>
      <c r="I102" s="936">
        <f>G102+H102</f>
        <v>0</v>
      </c>
      <c r="J102" s="18" t="s">
        <v>739</v>
      </c>
      <c r="K102" s="71"/>
      <c r="M102" s="126"/>
      <c r="N102" s="123"/>
      <c r="O102" s="66" t="s">
        <v>1064</v>
      </c>
      <c r="P102" s="66">
        <v>10</v>
      </c>
      <c r="Q102" s="173">
        <f>INDEX(Technik!$C$185:$M$209,$O$4,$P102)</f>
        <v>13</v>
      </c>
      <c r="S102" s="173"/>
      <c r="T102" s="174" t="s">
        <v>1145</v>
      </c>
      <c r="U102" s="66">
        <v>6</v>
      </c>
      <c r="V102" s="177">
        <f t="shared" si="1"/>
        <v>0</v>
      </c>
      <c r="W102" s="178" t="str">
        <f ca="1">CELL("Adresse",G116)</f>
        <v>$G$116</v>
      </c>
    </row>
    <row r="103" spans="1:23" ht="16.5" customHeight="1">
      <c r="A103" s="18" t="s">
        <v>244</v>
      </c>
      <c r="B103" s="18" t="s">
        <v>222</v>
      </c>
      <c r="E103" s="28" t="s">
        <v>242</v>
      </c>
      <c r="G103" s="559">
        <v>1.8</v>
      </c>
      <c r="H103" s="941"/>
      <c r="K103" s="71"/>
      <c r="M103" s="126"/>
      <c r="N103" s="123"/>
      <c r="O103" s="66" t="s">
        <v>1064</v>
      </c>
      <c r="P103" s="66">
        <v>10</v>
      </c>
      <c r="Q103" s="173">
        <f>INDEX(Technik!$C$185:$M$209,$O$4,$P103)</f>
        <v>13</v>
      </c>
      <c r="S103" s="173"/>
      <c r="T103" s="174" t="s">
        <v>1144</v>
      </c>
      <c r="U103" s="66">
        <v>7</v>
      </c>
      <c r="V103" s="177">
        <f t="shared" si="1"/>
        <v>0</v>
      </c>
      <c r="W103" s="178" t="str">
        <f ca="1">CELL("Adresse",H100)</f>
        <v>$H$100</v>
      </c>
    </row>
    <row r="104" spans="1:23" ht="16.2" customHeight="1">
      <c r="A104" s="18" t="s">
        <v>286</v>
      </c>
      <c r="B104" s="18" t="s">
        <v>287</v>
      </c>
      <c r="E104" s="28" t="s">
        <v>208</v>
      </c>
      <c r="G104" s="169">
        <f>G102*G103</f>
        <v>0</v>
      </c>
      <c r="H104" s="169">
        <f>H102*I120</f>
        <v>0</v>
      </c>
      <c r="I104" s="936">
        <f>G104+H104</f>
        <v>0</v>
      </c>
      <c r="J104" s="18" t="s">
        <v>734</v>
      </c>
      <c r="K104" s="71"/>
      <c r="M104" s="126"/>
      <c r="N104" s="123"/>
      <c r="O104" s="66" t="s">
        <v>1064</v>
      </c>
      <c r="P104" s="66">
        <v>10</v>
      </c>
      <c r="Q104" s="173">
        <f>INDEX(Technik!$C$185:$M$209,$O$4,$P104)</f>
        <v>13</v>
      </c>
      <c r="S104" s="173"/>
      <c r="T104" s="174" t="s">
        <v>1143</v>
      </c>
      <c r="U104" s="66">
        <v>8</v>
      </c>
      <c r="V104" s="177">
        <f t="shared" si="1"/>
        <v>0</v>
      </c>
      <c r="W104" s="178" t="str">
        <f ca="1">CELL("Adresse",H101)</f>
        <v>$H$101</v>
      </c>
    </row>
    <row r="105" spans="1:23" ht="16.2" customHeight="1">
      <c r="A105" s="881" t="s">
        <v>2825</v>
      </c>
      <c r="B105" s="881" t="s">
        <v>2826</v>
      </c>
      <c r="C105" s="881"/>
      <c r="D105" s="881"/>
      <c r="E105" s="882" t="s">
        <v>2824</v>
      </c>
      <c r="F105" s="881"/>
      <c r="G105" s="939">
        <v>0.56000000000000005</v>
      </c>
      <c r="H105" s="939">
        <v>0.56000000000000005</v>
      </c>
      <c r="L105" s="881"/>
      <c r="M105" s="881"/>
      <c r="N105" s="123"/>
      <c r="O105" s="66" t="s">
        <v>1064</v>
      </c>
      <c r="P105" s="66">
        <v>10</v>
      </c>
      <c r="Q105" s="173">
        <f>INDEX(Technik!$C$185:$M$209,$O$4,$P105)</f>
        <v>13</v>
      </c>
      <c r="S105" s="173"/>
      <c r="T105" s="174" t="s">
        <v>1142</v>
      </c>
      <c r="U105" s="66">
        <v>9</v>
      </c>
      <c r="V105" s="177">
        <f t="shared" si="1"/>
        <v>0</v>
      </c>
      <c r="W105" s="178" t="str">
        <f ca="1">CELL("Adresse",H116)</f>
        <v>$H$116</v>
      </c>
    </row>
    <row r="106" spans="1:23" ht="16.2" customHeight="1">
      <c r="A106" s="881" t="s">
        <v>2884</v>
      </c>
      <c r="B106" s="881" t="s">
        <v>2951</v>
      </c>
      <c r="C106" s="881"/>
      <c r="D106" s="881"/>
      <c r="E106" s="882" t="s">
        <v>2823</v>
      </c>
      <c r="F106" s="881"/>
      <c r="G106" s="940">
        <f>G102*G105</f>
        <v>0</v>
      </c>
      <c r="H106" s="940">
        <f>H102*H105</f>
        <v>0</v>
      </c>
      <c r="I106" s="938">
        <f>G106</f>
        <v>0</v>
      </c>
      <c r="J106" s="881" t="s">
        <v>2827</v>
      </c>
      <c r="L106" s="881"/>
      <c r="M106" s="881"/>
      <c r="N106" s="123"/>
      <c r="Q106" s="173"/>
      <c r="S106" s="173"/>
      <c r="T106" s="174"/>
      <c r="V106" s="502">
        <f>stfPStrom</f>
        <v>1.8</v>
      </c>
      <c r="W106" s="178" t="str">
        <f ca="1">CELL("Adresse",tlVal4)</f>
        <v>$G$103</v>
      </c>
    </row>
    <row r="107" spans="1:23" ht="16.5" customHeight="1">
      <c r="A107" s="25" t="s">
        <v>743</v>
      </c>
      <c r="E107" s="28"/>
      <c r="M107" s="123"/>
      <c r="N107" s="123"/>
      <c r="Q107" s="173"/>
      <c r="S107" s="173"/>
      <c r="T107" s="174"/>
      <c r="V107" s="502">
        <f>stfPStrom</f>
        <v>1.8</v>
      </c>
      <c r="W107" s="178" t="str">
        <f ca="1">CELL("Adresse",tlVal10)</f>
        <v>$I$120</v>
      </c>
    </row>
    <row r="108" spans="1:23" ht="16.5" customHeight="1">
      <c r="A108" s="18" t="s">
        <v>753</v>
      </c>
      <c r="B108" s="60"/>
      <c r="C108" s="60"/>
      <c r="D108" s="60"/>
      <c r="E108" s="67"/>
      <c r="G108" s="25"/>
      <c r="I108" s="75">
        <f>I100</f>
        <v>0</v>
      </c>
      <c r="L108" s="61"/>
      <c r="M108" s="127"/>
      <c r="N108" s="127"/>
      <c r="P108" s="402" t="s">
        <v>1952</v>
      </c>
      <c r="Q108" s="173"/>
      <c r="R108" s="402" t="s">
        <v>1941</v>
      </c>
      <c r="T108" s="174" t="s">
        <v>2828</v>
      </c>
      <c r="U108" s="66">
        <v>10</v>
      </c>
      <c r="V108" s="177">
        <f>L_g(Q105,U108,$G$94,G24,G104)</f>
        <v>0.56000000000000005</v>
      </c>
      <c r="W108" s="178" t="str">
        <f ca="1">CELL("Adresse",G105)</f>
        <v>$G$105</v>
      </c>
    </row>
    <row r="109" spans="1:23" ht="16.5" customHeight="1">
      <c r="A109" s="18" t="s">
        <v>277</v>
      </c>
      <c r="B109" s="18" t="s">
        <v>744</v>
      </c>
      <c r="C109" s="60"/>
      <c r="D109" s="60"/>
      <c r="F109" s="28" t="s">
        <v>208</v>
      </c>
      <c r="I109" s="558">
        <v>0</v>
      </c>
      <c r="L109" s="61"/>
      <c r="M109" s="127"/>
      <c r="N109" s="127"/>
      <c r="P109" s="402" t="s">
        <v>1953</v>
      </c>
      <c r="R109" s="402" t="str">
        <f ca="1">CELL("Adresse",I117)</f>
        <v>$I$117</v>
      </c>
      <c r="T109" s="174" t="s">
        <v>2828</v>
      </c>
      <c r="U109" s="66">
        <v>10</v>
      </c>
      <c r="V109" s="177">
        <f>L_g(Q106,U109,$G$94,G25,G105)</f>
        <v>0.56000000000000005</v>
      </c>
      <c r="W109" s="178" t="str">
        <f ca="1">CELL("Adresse",H105)</f>
        <v>$H$105</v>
      </c>
    </row>
    <row r="110" spans="1:23" ht="16.5" customHeight="1">
      <c r="A110" s="18" t="s">
        <v>278</v>
      </c>
      <c r="B110" s="18" t="s">
        <v>745</v>
      </c>
      <c r="C110" s="60"/>
      <c r="D110" s="60"/>
      <c r="F110" s="28" t="s">
        <v>208</v>
      </c>
      <c r="I110" s="558">
        <v>0</v>
      </c>
      <c r="L110" s="61"/>
      <c r="M110" s="127"/>
      <c r="N110" s="127"/>
      <c r="P110" s="402" t="s">
        <v>1954</v>
      </c>
      <c r="R110" s="402" t="str">
        <f ca="1">CELL("Adresse",I118)</f>
        <v>$I$118</v>
      </c>
      <c r="T110" s="174" t="s">
        <v>2828</v>
      </c>
      <c r="U110" s="66">
        <v>10</v>
      </c>
      <c r="V110" s="177">
        <f>L_g(Q107,U110,$G$94,G26,G106)</f>
        <v>0.56000000000000005</v>
      </c>
      <c r="W110" s="178" t="str">
        <f ca="1">CELL("Adresse",I122)</f>
        <v>$I$122</v>
      </c>
    </row>
    <row r="111" spans="1:23" ht="16.5" customHeight="1">
      <c r="A111" s="18" t="s">
        <v>279</v>
      </c>
      <c r="B111" s="18" t="s">
        <v>746</v>
      </c>
      <c r="F111" s="28" t="s">
        <v>208</v>
      </c>
      <c r="I111" s="558"/>
      <c r="L111" s="61"/>
      <c r="M111" s="127"/>
      <c r="N111" s="127"/>
      <c r="O111" s="150"/>
      <c r="P111" s="402" t="s">
        <v>1955</v>
      </c>
      <c r="Q111" s="150"/>
      <c r="R111" s="402" t="str">
        <f ca="1">CELL("Adresse",I120)</f>
        <v>$I$120</v>
      </c>
      <c r="S111" s="150"/>
      <c r="T111" s="150"/>
      <c r="U111" s="150"/>
    </row>
    <row r="112" spans="1:23" ht="16.5" customHeight="1">
      <c r="A112" s="18" t="s">
        <v>742</v>
      </c>
      <c r="B112" s="18" t="s">
        <v>754</v>
      </c>
      <c r="C112" s="60"/>
      <c r="D112" s="60"/>
      <c r="F112" s="28" t="s">
        <v>208</v>
      </c>
      <c r="I112" s="76">
        <f>I108-SUM(I109:I111)</f>
        <v>0</v>
      </c>
      <c r="J112" s="25" t="s">
        <v>817</v>
      </c>
      <c r="L112" s="61"/>
      <c r="M112" s="127"/>
      <c r="N112" s="127"/>
      <c r="W112" s="402"/>
    </row>
    <row r="113" spans="1:23" s="25" customFormat="1" ht="16.5" customHeight="1">
      <c r="E113" s="68"/>
      <c r="J113" s="25" t="s">
        <v>301</v>
      </c>
      <c r="M113" s="125"/>
      <c r="N113" s="125"/>
      <c r="O113" s="66"/>
      <c r="P113" s="66"/>
      <c r="Q113" s="66"/>
      <c r="R113" s="66"/>
      <c r="S113" s="66"/>
      <c r="T113" s="66"/>
      <c r="U113" s="66"/>
      <c r="V113" s="66"/>
      <c r="W113" s="402"/>
    </row>
    <row r="114" spans="1:23" ht="16.5" customHeight="1">
      <c r="A114" s="25" t="s">
        <v>274</v>
      </c>
      <c r="E114" s="28"/>
      <c r="M114" s="123"/>
      <c r="N114" s="123"/>
      <c r="W114" s="402"/>
    </row>
    <row r="115" spans="1:23" ht="38.25" customHeight="1">
      <c r="B115" s="60" t="s">
        <v>269</v>
      </c>
      <c r="C115" s="60"/>
      <c r="D115" s="60"/>
      <c r="E115" s="67" t="s">
        <v>207</v>
      </c>
      <c r="F115" s="71" t="s">
        <v>271</v>
      </c>
      <c r="G115" s="71" t="s">
        <v>272</v>
      </c>
      <c r="H115" s="71" t="s">
        <v>752</v>
      </c>
      <c r="I115" s="71" t="s">
        <v>342</v>
      </c>
      <c r="M115" s="126"/>
      <c r="N115" s="126"/>
      <c r="W115" s="402"/>
    </row>
    <row r="116" spans="1:23" ht="16.5" customHeight="1">
      <c r="A116" s="18" t="s">
        <v>288</v>
      </c>
      <c r="B116" s="18" t="s">
        <v>2671</v>
      </c>
      <c r="E116" s="28" t="s">
        <v>208</v>
      </c>
      <c r="F116" s="562">
        <v>0</v>
      </c>
      <c r="G116" s="563">
        <v>0</v>
      </c>
      <c r="H116" s="564">
        <v>0</v>
      </c>
      <c r="I116" s="75">
        <f>SUM(F116:H116)</f>
        <v>0</v>
      </c>
      <c r="J116" s="18" t="s">
        <v>755</v>
      </c>
      <c r="M116" s="126"/>
      <c r="N116" s="126"/>
      <c r="O116" s="163"/>
    </row>
    <row r="117" spans="1:23" ht="16.5" customHeight="1">
      <c r="A117" s="18" t="s">
        <v>289</v>
      </c>
      <c r="B117" s="18" t="s">
        <v>275</v>
      </c>
      <c r="E117" s="28" t="s">
        <v>208</v>
      </c>
      <c r="I117" s="558"/>
      <c r="M117" s="123"/>
      <c r="N117" s="123"/>
    </row>
    <row r="118" spans="1:23" ht="15.75" customHeight="1">
      <c r="A118" s="18" t="s">
        <v>290</v>
      </c>
      <c r="B118" s="18" t="s">
        <v>276</v>
      </c>
      <c r="E118" s="28" t="s">
        <v>208</v>
      </c>
      <c r="F118" s="71"/>
      <c r="G118" s="71"/>
      <c r="H118" s="71"/>
      <c r="I118" s="565"/>
      <c r="J118" s="18" t="s">
        <v>739</v>
      </c>
      <c r="M118" s="123"/>
      <c r="N118" s="123"/>
    </row>
    <row r="119" spans="1:23" ht="16.5" customHeight="1">
      <c r="A119" s="18" t="s">
        <v>291</v>
      </c>
      <c r="B119" s="18" t="s">
        <v>816</v>
      </c>
      <c r="E119" s="28" t="s">
        <v>208</v>
      </c>
      <c r="G119" s="24"/>
      <c r="H119" s="24"/>
      <c r="I119" s="75">
        <f>SUM(I116:I118)</f>
        <v>0</v>
      </c>
      <c r="J119" s="936">
        <f>I119</f>
        <v>0</v>
      </c>
      <c r="L119" s="62"/>
      <c r="M119" s="126"/>
      <c r="N119" s="126"/>
      <c r="O119" s="163"/>
    </row>
    <row r="120" spans="1:23" ht="16.5" customHeight="1">
      <c r="A120" s="18" t="s">
        <v>256</v>
      </c>
      <c r="B120" s="18" t="s">
        <v>222</v>
      </c>
      <c r="E120" s="28" t="s">
        <v>219</v>
      </c>
      <c r="F120" s="28"/>
      <c r="G120" s="64"/>
      <c r="H120" s="64"/>
      <c r="I120" s="560">
        <v>1.8</v>
      </c>
      <c r="J120" s="18" t="s">
        <v>734</v>
      </c>
      <c r="L120" s="62"/>
      <c r="M120" s="126"/>
      <c r="N120" s="126"/>
      <c r="O120" s="163"/>
    </row>
    <row r="121" spans="1:23" ht="16.5" customHeight="1">
      <c r="A121" s="18" t="s">
        <v>292</v>
      </c>
      <c r="B121" s="18" t="s">
        <v>293</v>
      </c>
      <c r="E121" s="28" t="s">
        <v>208</v>
      </c>
      <c r="I121" s="168">
        <f>I119*I120</f>
        <v>0</v>
      </c>
      <c r="J121" s="936">
        <f>I121</f>
        <v>0</v>
      </c>
      <c r="L121" s="62"/>
      <c r="M121" s="126"/>
      <c r="N121" s="126"/>
      <c r="O121" s="163"/>
    </row>
    <row r="122" spans="1:23" s="881" customFormat="1" ht="16.2" customHeight="1">
      <c r="A122" s="881" t="s">
        <v>2825</v>
      </c>
      <c r="B122" s="881" t="s">
        <v>2826</v>
      </c>
      <c r="E122" s="882" t="s">
        <v>2824</v>
      </c>
      <c r="G122" s="170"/>
      <c r="I122" s="939">
        <v>0.56000000000000005</v>
      </c>
      <c r="J122" s="881" t="s">
        <v>2827</v>
      </c>
      <c r="K122" s="18"/>
      <c r="O122" s="138"/>
      <c r="P122" s="138"/>
      <c r="Q122" s="138"/>
      <c r="R122" s="138"/>
      <c r="S122" s="138"/>
      <c r="T122" s="138"/>
      <c r="U122" s="138"/>
      <c r="V122" s="138"/>
      <c r="W122" s="138"/>
    </row>
    <row r="123" spans="1:23" s="881" customFormat="1" ht="16.5" customHeight="1">
      <c r="A123" s="881" t="s">
        <v>2884</v>
      </c>
      <c r="B123" s="881" t="s">
        <v>2951</v>
      </c>
      <c r="E123" s="882" t="s">
        <v>2823</v>
      </c>
      <c r="G123" s="170"/>
      <c r="I123" s="940">
        <f>I119*I122</f>
        <v>0</v>
      </c>
      <c r="J123" s="938">
        <f>I123</f>
        <v>0</v>
      </c>
      <c r="O123" s="138"/>
      <c r="P123" s="138"/>
      <c r="Q123" s="138"/>
      <c r="R123" s="138"/>
      <c r="S123" s="138"/>
      <c r="T123" s="138"/>
      <c r="U123" s="138"/>
      <c r="V123" s="138"/>
      <c r="W123" s="138"/>
    </row>
    <row r="124" spans="1:23" ht="16.5" customHeight="1">
      <c r="F124" s="62"/>
      <c r="K124" s="62"/>
      <c r="L124" s="62"/>
      <c r="M124" s="126"/>
      <c r="N124" s="126"/>
      <c r="O124" s="163"/>
    </row>
    <row r="125" spans="1:23" ht="16.5" customHeight="1">
      <c r="A125" s="25" t="s">
        <v>298</v>
      </c>
      <c r="E125" s="28"/>
      <c r="M125" s="123"/>
      <c r="N125" s="123"/>
    </row>
    <row r="126" spans="1:23" s="25" customFormat="1" ht="16.5" customHeight="1">
      <c r="A126" s="18" t="s">
        <v>756</v>
      </c>
      <c r="B126" s="18" t="s">
        <v>757</v>
      </c>
      <c r="C126" s="18"/>
      <c r="D126" s="18"/>
      <c r="E126" s="28" t="s">
        <v>227</v>
      </c>
      <c r="F126" s="18"/>
      <c r="G126" s="1230">
        <f ca="1">I102*$G$94</f>
        <v>0</v>
      </c>
      <c r="H126" s="1231"/>
      <c r="I126" s="18" t="s">
        <v>201</v>
      </c>
      <c r="J126" s="18" t="s">
        <v>228</v>
      </c>
      <c r="M126" s="128"/>
      <c r="N126" s="128"/>
      <c r="O126" s="164"/>
      <c r="P126" s="150"/>
      <c r="Q126" s="150"/>
      <c r="R126" s="150"/>
      <c r="S126" s="150"/>
      <c r="T126" s="150"/>
      <c r="U126" s="150"/>
      <c r="V126" s="150"/>
      <c r="W126" s="150"/>
    </row>
    <row r="127" spans="1:23" s="25" customFormat="1" ht="16.5" customHeight="1">
      <c r="A127" s="18" t="s">
        <v>1961</v>
      </c>
      <c r="B127" s="18" t="s">
        <v>758</v>
      </c>
      <c r="C127" s="18"/>
      <c r="D127" s="18"/>
      <c r="E127" s="28" t="s">
        <v>260</v>
      </c>
      <c r="F127" s="18"/>
      <c r="G127" s="1264">
        <f ca="1">J119*$G$94</f>
        <v>0</v>
      </c>
      <c r="H127" s="1265"/>
      <c r="I127" s="18" t="s">
        <v>201</v>
      </c>
      <c r="J127" s="62"/>
      <c r="M127" s="128"/>
      <c r="N127" s="128"/>
      <c r="O127" s="164"/>
      <c r="P127" s="150"/>
      <c r="Q127" s="150"/>
      <c r="R127" s="150"/>
      <c r="S127" s="150"/>
      <c r="T127" s="150"/>
      <c r="U127" s="150"/>
      <c r="V127" s="150"/>
      <c r="W127" s="150"/>
    </row>
    <row r="128" spans="1:23" s="25" customFormat="1" ht="16.5" customHeight="1">
      <c r="A128" s="25" t="s">
        <v>295</v>
      </c>
      <c r="B128" s="25" t="s">
        <v>296</v>
      </c>
      <c r="E128" s="70"/>
      <c r="F128" s="63"/>
      <c r="G128" s="1232">
        <f ca="1">(I104+J121)*$G$94</f>
        <v>0</v>
      </c>
      <c r="H128" s="1233"/>
      <c r="I128" s="25" t="s">
        <v>201</v>
      </c>
      <c r="J128" s="25" t="s">
        <v>229</v>
      </c>
      <c r="M128" s="128"/>
      <c r="N128" s="128"/>
      <c r="O128" s="164"/>
      <c r="P128" s="150"/>
      <c r="Q128" s="150"/>
      <c r="R128" s="150"/>
      <c r="S128" s="150"/>
      <c r="T128" s="150"/>
      <c r="U128" s="150"/>
      <c r="V128" s="150"/>
      <c r="W128" s="150"/>
    </row>
    <row r="129" spans="1:23" ht="16.5" customHeight="1">
      <c r="E129" s="28"/>
      <c r="M129" s="123"/>
      <c r="N129" s="123"/>
    </row>
    <row r="130" spans="1:23" ht="16.5" customHeight="1">
      <c r="E130" s="28"/>
      <c r="L130" s="1"/>
      <c r="M130" s="122"/>
      <c r="N130" s="122"/>
    </row>
    <row r="131" spans="1:23" ht="16.5" customHeight="1">
      <c r="A131" s="65" t="s">
        <v>301</v>
      </c>
      <c r="B131" s="66"/>
      <c r="C131" s="66"/>
      <c r="D131" s="66"/>
      <c r="E131" s="69"/>
      <c r="F131" s="66"/>
      <c r="G131" s="66"/>
      <c r="H131" s="66"/>
      <c r="I131" s="66"/>
      <c r="J131" s="66"/>
      <c r="K131" s="66"/>
      <c r="L131" s="1"/>
      <c r="M131" s="122">
        <f>ROW(A132)</f>
        <v>132</v>
      </c>
      <c r="N131" s="122">
        <f>ROW(A180)</f>
        <v>180</v>
      </c>
    </row>
    <row r="132" spans="1:23" ht="6.75" customHeight="1">
      <c r="A132" s="19"/>
      <c r="E132" s="28"/>
      <c r="L132" s="1"/>
      <c r="M132" s="122"/>
      <c r="N132" s="122"/>
      <c r="O132" s="18"/>
      <c r="P132" s="18"/>
      <c r="Q132" s="18"/>
      <c r="R132" s="18"/>
      <c r="S132" s="18"/>
      <c r="T132" s="18"/>
      <c r="U132" s="18"/>
      <c r="V132" s="18"/>
      <c r="W132" s="18"/>
    </row>
    <row r="133" spans="1:23" ht="16.5" customHeight="1" thickBot="1">
      <c r="A133" s="18" t="s">
        <v>202</v>
      </c>
      <c r="B133" s="1236"/>
      <c r="C133" s="1237"/>
      <c r="D133" s="1237"/>
      <c r="F133" s="16" t="s">
        <v>759</v>
      </c>
      <c r="G133" s="172">
        <f ca="1">G15</f>
        <v>8046.4144711898389</v>
      </c>
      <c r="H133" s="20" t="s">
        <v>201</v>
      </c>
      <c r="I133" s="20" t="s">
        <v>760</v>
      </c>
      <c r="J133" s="21"/>
      <c r="M133" s="123"/>
      <c r="N133" s="123"/>
      <c r="O133" s="66" t="s">
        <v>1096</v>
      </c>
      <c r="P133" s="66" t="s">
        <v>1097</v>
      </c>
      <c r="Q133" s="66" t="s">
        <v>1094</v>
      </c>
      <c r="T133" s="66" t="s">
        <v>1098</v>
      </c>
      <c r="U133" s="66" t="s">
        <v>1098</v>
      </c>
      <c r="V133" s="66" t="s">
        <v>1099</v>
      </c>
      <c r="W133" s="66" t="s">
        <v>1100</v>
      </c>
    </row>
    <row r="134" spans="1:23" ht="16.5" customHeight="1" thickTop="1">
      <c r="A134" s="18" t="s">
        <v>204</v>
      </c>
      <c r="B134" s="1228"/>
      <c r="C134" s="1229"/>
      <c r="D134" s="1229"/>
      <c r="F134" s="13" t="s">
        <v>232</v>
      </c>
      <c r="G134" s="171">
        <f ca="1">D11</f>
        <v>213.7481712</v>
      </c>
      <c r="H134" s="18" t="s">
        <v>230</v>
      </c>
      <c r="I134" s="18" t="s">
        <v>203</v>
      </c>
      <c r="J134" s="22"/>
      <c r="M134" s="123"/>
      <c r="N134" s="123"/>
      <c r="O134" s="66" t="s">
        <v>1133</v>
      </c>
      <c r="P134" s="66">
        <v>4</v>
      </c>
      <c r="Q134" s="173">
        <f>INDEX(Technik!$C$185:$M$209,$O$4,$P134)</f>
        <v>12</v>
      </c>
      <c r="T134" s="174" t="s">
        <v>1132</v>
      </c>
      <c r="U134" s="66">
        <v>1</v>
      </c>
      <c r="V134" s="189">
        <f>H_c(Q134,U134,$G$46)</f>
        <v>3.3</v>
      </c>
      <c r="W134" s="178" t="str">
        <f ca="1">CELL("Adresse",H141)</f>
        <v>$H$141</v>
      </c>
    </row>
    <row r="135" spans="1:23" ht="16.5" customHeight="1">
      <c r="F135" s="14" t="s">
        <v>761</v>
      </c>
      <c r="G135" s="188">
        <f ca="1">G16</f>
        <v>37.64436638693374</v>
      </c>
      <c r="H135" s="17" t="s">
        <v>221</v>
      </c>
      <c r="I135" s="17"/>
      <c r="J135" s="15"/>
      <c r="M135" s="123"/>
      <c r="N135" s="123"/>
      <c r="O135" s="66" t="s">
        <v>1133</v>
      </c>
      <c r="P135" s="66">
        <v>4</v>
      </c>
      <c r="Q135" s="173">
        <f>INDEX(Technik!$C$185:$M$209,$O$4,$P135)</f>
        <v>12</v>
      </c>
      <c r="T135" s="174" t="s">
        <v>1134</v>
      </c>
      <c r="U135" s="66">
        <v>2</v>
      </c>
      <c r="V135" s="189">
        <f>H_c(Q135,U135,$G$46)</f>
        <v>0</v>
      </c>
      <c r="W135" s="178"/>
    </row>
    <row r="136" spans="1:23" ht="16.5" customHeight="1">
      <c r="A136" s="25" t="s">
        <v>205</v>
      </c>
      <c r="M136" s="123"/>
      <c r="N136" s="123"/>
      <c r="O136" s="66" t="s">
        <v>1086</v>
      </c>
      <c r="P136" s="66">
        <v>5</v>
      </c>
      <c r="Q136" s="173">
        <f>INDEX(Technik!$C$185:$M$209,$O$4,$P136)</f>
        <v>18</v>
      </c>
      <c r="T136" s="174" t="s">
        <v>1132</v>
      </c>
      <c r="U136" s="66">
        <v>1</v>
      </c>
      <c r="V136" s="175">
        <f ca="1">H_d(Q136,U136,$G$46,$Q$140)</f>
        <v>2.231259144</v>
      </c>
      <c r="W136" s="178" t="str">
        <f ca="1">CELL("Adresse",H142)</f>
        <v>$H$142</v>
      </c>
    </row>
    <row r="137" spans="1:23" ht="16.5" customHeight="1">
      <c r="B137" s="60" t="s">
        <v>206</v>
      </c>
      <c r="C137" s="60"/>
      <c r="D137" s="60"/>
      <c r="F137" s="60" t="s">
        <v>207</v>
      </c>
      <c r="G137" s="24"/>
      <c r="M137" s="123"/>
      <c r="N137" s="123"/>
      <c r="O137" s="66" t="s">
        <v>1086</v>
      </c>
      <c r="P137" s="66">
        <v>5</v>
      </c>
      <c r="Q137" s="173">
        <f>INDEX(Technik!$C$185:$M$209,$O$4,$P137)</f>
        <v>18</v>
      </c>
      <c r="T137" s="174" t="s">
        <v>1134</v>
      </c>
      <c r="U137" s="66">
        <v>2</v>
      </c>
      <c r="V137" s="175">
        <f ca="1">H_d(Q137,U137,$G$46,$Q$140)</f>
        <v>1.81263396112</v>
      </c>
      <c r="W137" s="178" t="str">
        <f ca="1">CELL("Adresse",H160)</f>
        <v>$H$160</v>
      </c>
    </row>
    <row r="138" spans="1:23" ht="16.5" customHeight="1">
      <c r="A138" s="18" t="s">
        <v>761</v>
      </c>
      <c r="B138" s="18" t="s">
        <v>2934</v>
      </c>
      <c r="F138" s="28" t="s">
        <v>208</v>
      </c>
      <c r="H138" s="504">
        <f ca="1">G135</f>
        <v>37.64436638693374</v>
      </c>
      <c r="M138" s="123"/>
      <c r="N138" s="123"/>
      <c r="O138" s="66" t="s">
        <v>1079</v>
      </c>
      <c r="P138" s="66">
        <v>6</v>
      </c>
      <c r="Q138" s="173">
        <f>INDEX(Technik!$C$185:$M$209,$O$4,$P138)</f>
        <v>4</v>
      </c>
      <c r="T138" s="174" t="s">
        <v>1132</v>
      </c>
      <c r="U138" s="66">
        <v>1</v>
      </c>
      <c r="V138" s="176">
        <f ca="1">h_s(Q138,U138,$G$46)</f>
        <v>0.77250365760000006</v>
      </c>
      <c r="W138" s="178" t="str">
        <f ca="1">CELL("Adresse",H143)</f>
        <v>$H$143</v>
      </c>
    </row>
    <row r="139" spans="1:23" ht="16.5" customHeight="1">
      <c r="A139" s="18" t="s">
        <v>239</v>
      </c>
      <c r="B139" s="18" t="s">
        <v>762</v>
      </c>
      <c r="F139" s="28" t="s">
        <v>208</v>
      </c>
      <c r="G139" s="77" t="s">
        <v>367</v>
      </c>
      <c r="H139" s="26">
        <f>I54</f>
        <v>1</v>
      </c>
      <c r="I139" s="18" t="s">
        <v>210</v>
      </c>
      <c r="M139" s="123"/>
      <c r="N139" s="123"/>
      <c r="O139" s="66" t="s">
        <v>1079</v>
      </c>
      <c r="P139" s="66">
        <v>6</v>
      </c>
      <c r="Q139" s="173">
        <f>INDEX(Technik!$C$185:$M$209,$O$4,$P139)</f>
        <v>4</v>
      </c>
      <c r="T139" s="174" t="s">
        <v>1134</v>
      </c>
      <c r="U139" s="66">
        <v>2</v>
      </c>
      <c r="V139" s="176">
        <f ca="1">h_s(Q139,U139,$G$46)</f>
        <v>0.32625182880000003</v>
      </c>
      <c r="W139" s="178" t="str">
        <f ca="1">CELL("Adresse",H161)</f>
        <v>$H$161</v>
      </c>
    </row>
    <row r="140" spans="1:23" ht="16.5" customHeight="1">
      <c r="A140" s="18" t="s">
        <v>763</v>
      </c>
      <c r="B140" s="18" t="s">
        <v>764</v>
      </c>
      <c r="F140" s="28" t="s">
        <v>208</v>
      </c>
      <c r="G140" s="77" t="s">
        <v>367</v>
      </c>
      <c r="H140" s="26">
        <f>I112</f>
        <v>0</v>
      </c>
      <c r="I140" s="18" t="s">
        <v>743</v>
      </c>
      <c r="M140" s="123"/>
      <c r="N140" s="123"/>
      <c r="O140" s="66" t="s">
        <v>1064</v>
      </c>
      <c r="P140" s="66">
        <v>7</v>
      </c>
      <c r="Q140" s="173">
        <f>INDEX(Technik!$C$185:$M$209,$O$4,$P140)</f>
        <v>161</v>
      </c>
      <c r="S140" s="173"/>
      <c r="T140" s="174" t="s">
        <v>1135</v>
      </c>
      <c r="U140" s="66">
        <v>11</v>
      </c>
      <c r="V140" s="177">
        <f ca="1">H_g(Q140,U140,$G$46)</f>
        <v>1</v>
      </c>
      <c r="W140" s="178" t="str">
        <f ca="1">CELL("Adresse",G149)</f>
        <v>$G$149</v>
      </c>
    </row>
    <row r="141" spans="1:23" ht="16.5" customHeight="1">
      <c r="A141" s="18" t="s">
        <v>773</v>
      </c>
      <c r="B141" s="18" t="s">
        <v>765</v>
      </c>
      <c r="F141" s="28" t="s">
        <v>208</v>
      </c>
      <c r="G141" s="77" t="s">
        <v>212</v>
      </c>
      <c r="H141" s="566">
        <v>3.3</v>
      </c>
      <c r="M141" s="123"/>
      <c r="N141" s="123"/>
      <c r="O141" s="66" t="s">
        <v>1064</v>
      </c>
      <c r="P141" s="66">
        <v>7</v>
      </c>
      <c r="Q141" s="173">
        <f>INDEX(Technik!$C$185:$M$209,$O$4,$P141)</f>
        <v>161</v>
      </c>
      <c r="S141" s="173"/>
      <c r="T141" s="174" t="s">
        <v>1136</v>
      </c>
      <c r="U141" s="66">
        <v>12</v>
      </c>
      <c r="V141" s="177">
        <f t="shared" ref="V141:V147" ca="1" si="2">H_g(Q141,U141,$G$46)</f>
        <v>0.3</v>
      </c>
      <c r="W141" s="178" t="str">
        <f ca="1">CELL("Adresse",G150)</f>
        <v>$G$150</v>
      </c>
    </row>
    <row r="142" spans="1:23" ht="16.5" customHeight="1">
      <c r="A142" s="18" t="s">
        <v>774</v>
      </c>
      <c r="B142" s="18" t="s">
        <v>766</v>
      </c>
      <c r="F142" s="28" t="s">
        <v>208</v>
      </c>
      <c r="G142" s="77" t="s">
        <v>212</v>
      </c>
      <c r="H142" s="566">
        <v>2.2296</v>
      </c>
      <c r="M142" s="123"/>
      <c r="N142" s="123"/>
      <c r="O142" s="66" t="s">
        <v>1064</v>
      </c>
      <c r="P142" s="66">
        <v>7</v>
      </c>
      <c r="Q142" s="173">
        <f>INDEX(Technik!$C$185:$M$209,$O$4,$P142)</f>
        <v>161</v>
      </c>
      <c r="S142" s="173"/>
      <c r="T142" s="174" t="s">
        <v>1137</v>
      </c>
      <c r="U142" s="66">
        <v>13</v>
      </c>
      <c r="V142" s="177">
        <f t="shared" ca="1" si="2"/>
        <v>0</v>
      </c>
      <c r="W142" s="178" t="str">
        <f ca="1">CELL("Adresse",G167)</f>
        <v>$G$167</v>
      </c>
    </row>
    <row r="143" spans="1:23" ht="16.5" customHeight="1">
      <c r="A143" s="18" t="s">
        <v>775</v>
      </c>
      <c r="B143" s="18" t="s">
        <v>767</v>
      </c>
      <c r="F143" s="28" t="s">
        <v>208</v>
      </c>
      <c r="G143" s="77" t="s">
        <v>212</v>
      </c>
      <c r="H143" s="566">
        <v>0.77183999999999997</v>
      </c>
      <c r="M143" s="123"/>
      <c r="N143" s="123"/>
      <c r="O143" s="66" t="s">
        <v>1064</v>
      </c>
      <c r="P143" s="66">
        <v>7</v>
      </c>
      <c r="Q143" s="173">
        <f>INDEX(Technik!$C$185:$M$209,$O$4,$P143)</f>
        <v>161</v>
      </c>
      <c r="S143" s="173"/>
      <c r="T143" s="174" t="s">
        <v>1093</v>
      </c>
      <c r="U143" s="66">
        <v>14</v>
      </c>
      <c r="V143" s="177">
        <f t="shared" ca="1" si="2"/>
        <v>1.8</v>
      </c>
      <c r="W143" s="178" t="str">
        <f ca="1">CELL("Adresse",G152)</f>
        <v>$G$152</v>
      </c>
    </row>
    <row r="144" spans="1:23" ht="16.5" customHeight="1">
      <c r="A144" s="18" t="s">
        <v>2372</v>
      </c>
      <c r="B144" s="503" t="s">
        <v>776</v>
      </c>
      <c r="F144" s="28" t="s">
        <v>208</v>
      </c>
      <c r="H144" s="73">
        <f ca="1">H138-H139-H140+H141+H142+H143</f>
        <v>42.945806386933732</v>
      </c>
      <c r="M144" s="123"/>
      <c r="N144" s="123"/>
      <c r="O144" s="66" t="s">
        <v>1064</v>
      </c>
      <c r="P144" s="66">
        <v>7</v>
      </c>
      <c r="Q144" s="173">
        <f>INDEX(Technik!$C$185:$M$209,$O$4,$P144)</f>
        <v>161</v>
      </c>
      <c r="S144" s="173"/>
      <c r="T144" s="174" t="s">
        <v>1135</v>
      </c>
      <c r="U144" s="66">
        <v>21</v>
      </c>
      <c r="V144" s="177">
        <f t="shared" ca="1" si="2"/>
        <v>0</v>
      </c>
      <c r="W144" s="178" t="str">
        <f ca="1">CELL("Adresse",H149)</f>
        <v>$H$149</v>
      </c>
    </row>
    <row r="145" spans="1:23" ht="16.5" customHeight="1">
      <c r="F145" s="28"/>
      <c r="G145" s="24"/>
      <c r="H145" s="24"/>
      <c r="I145" s="24"/>
      <c r="M145" s="123"/>
      <c r="N145" s="123"/>
      <c r="O145" s="66" t="s">
        <v>1064</v>
      </c>
      <c r="P145" s="66">
        <v>7</v>
      </c>
      <c r="Q145" s="173">
        <f>INDEX(Technik!$C$185:$M$209,$O$4,$P145)</f>
        <v>161</v>
      </c>
      <c r="S145" s="173"/>
      <c r="T145" s="174" t="s">
        <v>1136</v>
      </c>
      <c r="U145" s="66">
        <v>22</v>
      </c>
      <c r="V145" s="177">
        <f t="shared" ca="1" si="2"/>
        <v>0</v>
      </c>
      <c r="W145" s="178" t="str">
        <f ca="1">CELL("Adresse",H150)</f>
        <v>$H$150</v>
      </c>
    </row>
    <row r="146" spans="1:23" ht="16.5" customHeight="1">
      <c r="F146" s="28"/>
      <c r="G146" s="24"/>
      <c r="H146" s="24"/>
      <c r="I146" s="24"/>
      <c r="M146" s="123"/>
      <c r="N146" s="123"/>
      <c r="O146" s="66" t="s">
        <v>1064</v>
      </c>
      <c r="P146" s="66">
        <v>7</v>
      </c>
      <c r="Q146" s="173">
        <f>INDEX(Technik!$C$185:$M$209,$O$4,$P146)</f>
        <v>161</v>
      </c>
      <c r="S146" s="173"/>
      <c r="T146" s="174" t="s">
        <v>1137</v>
      </c>
      <c r="U146" s="66">
        <v>23</v>
      </c>
      <c r="V146" s="177">
        <f t="shared" ca="1" si="2"/>
        <v>0</v>
      </c>
      <c r="W146" s="178" t="str">
        <f ca="1">CELL("Adresse",H167)</f>
        <v>$H$167</v>
      </c>
    </row>
    <row r="147" spans="1:23" ht="16.5" customHeight="1">
      <c r="F147" s="28"/>
      <c r="G147" s="24" t="s">
        <v>217</v>
      </c>
      <c r="H147" s="24" t="s">
        <v>217</v>
      </c>
      <c r="I147" s="24" t="s">
        <v>217</v>
      </c>
      <c r="M147" s="123"/>
      <c r="N147" s="123"/>
      <c r="O147" s="66" t="s">
        <v>1064</v>
      </c>
      <c r="P147" s="66">
        <v>7</v>
      </c>
      <c r="Q147" s="173">
        <f>INDEX(Technik!$C$185:$M$209,$O$4,$P147)</f>
        <v>161</v>
      </c>
      <c r="S147" s="173"/>
      <c r="T147" s="174" t="s">
        <v>1093</v>
      </c>
      <c r="U147" s="66">
        <v>24</v>
      </c>
      <c r="V147" s="177">
        <f t="shared" ca="1" si="2"/>
        <v>0</v>
      </c>
      <c r="W147" s="178" t="str">
        <f ca="1">CELL("Adresse",H152)</f>
        <v>$H$152</v>
      </c>
    </row>
    <row r="148" spans="1:23" ht="16.5" customHeight="1">
      <c r="F148" s="28"/>
      <c r="G148" s="24">
        <v>1</v>
      </c>
      <c r="H148" s="24">
        <v>2</v>
      </c>
      <c r="I148" s="24">
        <v>3</v>
      </c>
      <c r="M148" s="123"/>
      <c r="N148" s="123"/>
      <c r="V148" s="502">
        <f>stfPStrom</f>
        <v>1.8</v>
      </c>
      <c r="W148" s="178" t="str">
        <f ca="1">CELL("Adresse",thVal12)</f>
        <v>$H$172</v>
      </c>
    </row>
    <row r="149" spans="1:23" ht="16.5" customHeight="1">
      <c r="A149" s="18" t="s">
        <v>777</v>
      </c>
      <c r="B149" s="18" t="s">
        <v>768</v>
      </c>
      <c r="F149" s="28" t="s">
        <v>242</v>
      </c>
      <c r="G149" s="567">
        <v>1</v>
      </c>
      <c r="H149" s="567">
        <v>0</v>
      </c>
      <c r="I149" s="567"/>
      <c r="M149" s="123"/>
      <c r="N149" s="123"/>
      <c r="V149" s="502">
        <f>stfPStrom</f>
        <v>1.8</v>
      </c>
      <c r="W149" s="178" t="str">
        <f ca="1">CELL("Adresse",twVal13)</f>
        <v>$H$82</v>
      </c>
    </row>
    <row r="150" spans="1:23" ht="16.5" customHeight="1">
      <c r="A150" s="18" t="s">
        <v>778</v>
      </c>
      <c r="B150" s="18" t="s">
        <v>769</v>
      </c>
      <c r="F150" s="28" t="s">
        <v>242</v>
      </c>
      <c r="G150" s="566">
        <v>0.3</v>
      </c>
      <c r="H150" s="566">
        <v>0</v>
      </c>
      <c r="I150" s="566"/>
      <c r="J150" s="18" t="s">
        <v>739</v>
      </c>
      <c r="K150" s="25"/>
      <c r="M150" s="123"/>
      <c r="N150" s="123"/>
      <c r="O150" s="66" t="s">
        <v>1064</v>
      </c>
      <c r="P150" s="66">
        <v>7</v>
      </c>
      <c r="Q150" s="173">
        <f>INDEX(Technik!$C$185:$M$209,$O$4,$P150)</f>
        <v>161</v>
      </c>
      <c r="T150" s="174" t="s">
        <v>2828</v>
      </c>
      <c r="U150" s="66">
        <v>15</v>
      </c>
      <c r="V150" s="177">
        <f ca="1">H_g(Q150,U150,$G$46)</f>
        <v>0.56000000000000005</v>
      </c>
      <c r="W150" s="178" t="str">
        <f ca="1">CELL("Adresse",G154)</f>
        <v>$G$154</v>
      </c>
    </row>
    <row r="151" spans="1:23" ht="16.5" customHeight="1">
      <c r="A151" s="18" t="s">
        <v>779</v>
      </c>
      <c r="B151" s="18" t="s">
        <v>782</v>
      </c>
      <c r="F151" s="28" t="s">
        <v>208</v>
      </c>
      <c r="G151" s="26">
        <f ca="1">$H$144*G149*G150</f>
        <v>12.883741916080119</v>
      </c>
      <c r="H151" s="26">
        <f ca="1">$H$144*H149*H150</f>
        <v>0</v>
      </c>
      <c r="I151" s="26">
        <f ca="1">$H$144*I149*I150</f>
        <v>0</v>
      </c>
      <c r="J151" s="936">
        <f ca="1">SUM(G151:I151)</f>
        <v>12.883741916080119</v>
      </c>
      <c r="K151" s="25"/>
      <c r="M151" s="123"/>
      <c r="N151" s="123"/>
      <c r="O151" s="66" t="s">
        <v>1064</v>
      </c>
      <c r="P151" s="66">
        <v>7</v>
      </c>
      <c r="Q151" s="173">
        <f>INDEX(Technik!$C$185:$M$209,$O$4,$P151)</f>
        <v>161</v>
      </c>
      <c r="T151" s="174" t="s">
        <v>2828</v>
      </c>
      <c r="U151" s="66">
        <v>25</v>
      </c>
      <c r="V151" s="177">
        <f ca="1">H_g(Q151,U151,$G$46)</f>
        <v>0</v>
      </c>
      <c r="W151" s="178" t="str">
        <f ca="1">CELL("Adresse",H154)</f>
        <v>$H$154</v>
      </c>
    </row>
    <row r="152" spans="1:23" ht="16.5" customHeight="1">
      <c r="A152" s="18" t="s">
        <v>244</v>
      </c>
      <c r="B152" s="18" t="s">
        <v>222</v>
      </c>
      <c r="F152" s="28" t="s">
        <v>242</v>
      </c>
      <c r="G152" s="567">
        <v>1.8</v>
      </c>
      <c r="H152" s="567">
        <v>0</v>
      </c>
      <c r="I152" s="567"/>
      <c r="J152" s="18" t="s">
        <v>734</v>
      </c>
      <c r="K152" s="25"/>
      <c r="L152" s="25"/>
      <c r="M152" s="123"/>
      <c r="N152" s="123"/>
      <c r="V152" s="502">
        <f>V63</f>
        <v>0.56000000000000005</v>
      </c>
      <c r="W152" s="178" t="str">
        <f ca="1">CELL("Adresse",H174)</f>
        <v>$H$174</v>
      </c>
    </row>
    <row r="153" spans="1:23" ht="16.2" customHeight="1">
      <c r="A153" s="18" t="s">
        <v>780</v>
      </c>
      <c r="B153" s="18" t="s">
        <v>781</v>
      </c>
      <c r="F153" s="28" t="s">
        <v>208</v>
      </c>
      <c r="G153" s="27">
        <f ca="1">G151*G152</f>
        <v>23.190735448944213</v>
      </c>
      <c r="H153" s="27">
        <f ca="1">H151*H152</f>
        <v>0</v>
      </c>
      <c r="I153" s="27">
        <f ca="1">I151*I152</f>
        <v>0</v>
      </c>
      <c r="J153" s="936">
        <f ca="1">SUM(G153:I153)</f>
        <v>23.190735448944213</v>
      </c>
      <c r="K153" s="25"/>
      <c r="M153" s="123"/>
      <c r="N153" s="123"/>
    </row>
    <row r="154" spans="1:23" s="881" customFormat="1" ht="16.5" customHeight="1">
      <c r="A154" s="881" t="s">
        <v>2829</v>
      </c>
      <c r="B154" s="881" t="s">
        <v>2826</v>
      </c>
      <c r="F154" s="882" t="s">
        <v>2824</v>
      </c>
      <c r="G154" s="939">
        <v>0.56000000000000005</v>
      </c>
      <c r="H154" s="939">
        <v>0</v>
      </c>
      <c r="I154" s="939"/>
      <c r="J154" s="881" t="s">
        <v>2827</v>
      </c>
      <c r="K154" s="883"/>
      <c r="O154" s="138"/>
      <c r="P154" s="138"/>
      <c r="Q154" s="138"/>
      <c r="R154" s="138"/>
      <c r="S154" s="138"/>
      <c r="T154" s="138"/>
      <c r="U154" s="138"/>
      <c r="V154" s="138"/>
      <c r="W154" s="138"/>
    </row>
    <row r="155" spans="1:23" s="881" customFormat="1" ht="16.5" customHeight="1">
      <c r="A155" s="881" t="s">
        <v>2885</v>
      </c>
      <c r="B155" s="881" t="s">
        <v>2952</v>
      </c>
      <c r="F155" s="882" t="s">
        <v>2823</v>
      </c>
      <c r="G155" s="940">
        <f ca="1">G151*G154</f>
        <v>7.2148954730048676</v>
      </c>
      <c r="H155" s="940">
        <f ca="1">H151*H154</f>
        <v>0</v>
      </c>
      <c r="I155" s="940">
        <f ca="1">I151*I154</f>
        <v>0</v>
      </c>
      <c r="J155" s="938">
        <f ca="1">SUM(G155:I155)</f>
        <v>7.2148954730048676</v>
      </c>
      <c r="K155" s="883"/>
      <c r="O155" s="138"/>
      <c r="P155" s="138"/>
      <c r="Q155" s="138"/>
      <c r="R155" s="138"/>
      <c r="S155" s="138"/>
      <c r="T155" s="138"/>
      <c r="U155" s="138"/>
      <c r="V155" s="138"/>
      <c r="W155" s="138"/>
    </row>
    <row r="156" spans="1:23" ht="6.6" customHeight="1">
      <c r="F156" s="28"/>
      <c r="G156" s="24"/>
      <c r="H156" s="24"/>
      <c r="I156" s="24"/>
      <c r="M156" s="123"/>
      <c r="N156" s="123"/>
    </row>
    <row r="157" spans="1:23" ht="16.5" customHeight="1">
      <c r="A157" s="25" t="s">
        <v>223</v>
      </c>
      <c r="F157" s="28"/>
      <c r="G157" s="24"/>
      <c r="H157" s="24"/>
      <c r="I157" s="24"/>
      <c r="M157" s="123"/>
      <c r="N157" s="123"/>
    </row>
    <row r="158" spans="1:23" ht="16.5" customHeight="1">
      <c r="B158" s="60" t="s">
        <v>206</v>
      </c>
      <c r="C158" s="60"/>
      <c r="D158" s="60"/>
      <c r="F158" s="67" t="s">
        <v>207</v>
      </c>
      <c r="G158" s="24"/>
      <c r="H158" s="24"/>
      <c r="I158" s="24"/>
      <c r="M158" s="123"/>
      <c r="N158" s="123"/>
    </row>
    <row r="159" spans="1:23" ht="16.5" customHeight="1">
      <c r="A159" s="18" t="s">
        <v>770</v>
      </c>
      <c r="B159" s="18" t="s">
        <v>765</v>
      </c>
      <c r="F159" s="28" t="s">
        <v>208</v>
      </c>
      <c r="G159" s="24"/>
      <c r="H159" s="902">
        <v>0</v>
      </c>
      <c r="I159" s="24"/>
      <c r="M159" s="123"/>
      <c r="N159" s="123"/>
    </row>
    <row r="160" spans="1:23" ht="16.5" customHeight="1">
      <c r="A160" s="18" t="s">
        <v>771</v>
      </c>
      <c r="B160" s="18" t="s">
        <v>785</v>
      </c>
      <c r="F160" s="28" t="s">
        <v>208</v>
      </c>
      <c r="G160" s="24"/>
      <c r="H160" s="566">
        <v>1.811008</v>
      </c>
      <c r="I160" s="24"/>
      <c r="M160" s="123"/>
      <c r="N160" s="123"/>
    </row>
    <row r="161" spans="1:23" ht="16.5" customHeight="1">
      <c r="A161" s="18" t="s">
        <v>772</v>
      </c>
      <c r="B161" s="18" t="s">
        <v>767</v>
      </c>
      <c r="F161" s="28" t="s">
        <v>208</v>
      </c>
      <c r="G161" s="24"/>
      <c r="H161" s="568">
        <v>0.32591999999999999</v>
      </c>
      <c r="I161" s="24"/>
      <c r="M161" s="123"/>
      <c r="N161" s="123"/>
    </row>
    <row r="162" spans="1:23" ht="16.5" customHeight="1">
      <c r="F162" s="28"/>
      <c r="G162" s="24"/>
      <c r="H162" s="24"/>
      <c r="I162" s="24"/>
      <c r="M162" s="123"/>
      <c r="N162" s="123"/>
    </row>
    <row r="163" spans="1:23" ht="16.5" customHeight="1">
      <c r="F163" s="28"/>
      <c r="G163" s="24"/>
      <c r="H163" s="24"/>
      <c r="I163" s="24"/>
      <c r="M163" s="123"/>
      <c r="N163" s="123"/>
    </row>
    <row r="164" spans="1:23" ht="16.5" customHeight="1">
      <c r="F164" s="28"/>
      <c r="G164" s="24" t="s">
        <v>217</v>
      </c>
      <c r="H164" s="24" t="s">
        <v>217</v>
      </c>
      <c r="I164" s="24" t="s">
        <v>217</v>
      </c>
      <c r="M164" s="123"/>
      <c r="N164" s="123"/>
    </row>
    <row r="165" spans="1:23" ht="16.5" customHeight="1">
      <c r="F165" s="28"/>
      <c r="G165" s="24">
        <v>1</v>
      </c>
      <c r="H165" s="24">
        <v>2</v>
      </c>
      <c r="I165" s="24">
        <v>3</v>
      </c>
      <c r="M165" s="123"/>
      <c r="N165" s="123"/>
    </row>
    <row r="166" spans="1:23" ht="16.5" customHeight="1">
      <c r="A166" s="18" t="s">
        <v>777</v>
      </c>
      <c r="B166" s="18" t="s">
        <v>768</v>
      </c>
      <c r="F166" s="28" t="s">
        <v>242</v>
      </c>
      <c r="G166" s="23">
        <f>G149</f>
        <v>1</v>
      </c>
      <c r="H166" s="23">
        <f>H149</f>
        <v>0</v>
      </c>
      <c r="I166" s="23">
        <f>I149</f>
        <v>0</v>
      </c>
      <c r="M166" s="123"/>
      <c r="N166" s="123"/>
    </row>
    <row r="167" spans="1:23" ht="16.5" customHeight="1">
      <c r="A167" s="18" t="s">
        <v>783</v>
      </c>
      <c r="B167" s="18" t="s">
        <v>786</v>
      </c>
      <c r="F167" s="28" t="s">
        <v>208</v>
      </c>
      <c r="G167" s="566">
        <v>0</v>
      </c>
      <c r="H167" s="566">
        <v>0</v>
      </c>
      <c r="I167" s="566"/>
      <c r="M167" s="123"/>
      <c r="N167" s="123"/>
    </row>
    <row r="168" spans="1:23" ht="16.5" customHeight="1">
      <c r="A168" s="18" t="s">
        <v>784</v>
      </c>
      <c r="B168" s="18" t="s">
        <v>787</v>
      </c>
      <c r="F168" s="28" t="s">
        <v>208</v>
      </c>
      <c r="G168" s="27">
        <f>G166*G167</f>
        <v>0</v>
      </c>
      <c r="H168" s="27">
        <f>H166*H167</f>
        <v>0</v>
      </c>
      <c r="I168" s="27">
        <f>I166*I167</f>
        <v>0</v>
      </c>
      <c r="M168" s="123"/>
      <c r="N168" s="123"/>
    </row>
    <row r="169" spans="1:23" ht="16.5" customHeight="1">
      <c r="F169" s="28"/>
      <c r="G169" s="24"/>
      <c r="H169" s="24"/>
      <c r="I169" s="24"/>
      <c r="M169" s="123"/>
      <c r="N169" s="123"/>
    </row>
    <row r="170" spans="1:23" ht="16.5" customHeight="1">
      <c r="F170" s="28"/>
      <c r="G170" s="24"/>
      <c r="H170" s="24"/>
      <c r="I170" s="24"/>
      <c r="K170" s="25"/>
      <c r="M170" s="123"/>
      <c r="N170" s="123"/>
    </row>
    <row r="171" spans="1:23" ht="16.5" customHeight="1">
      <c r="A171" s="18" t="s">
        <v>788</v>
      </c>
      <c r="B171" s="18" t="s">
        <v>791</v>
      </c>
      <c r="F171" s="28" t="s">
        <v>208</v>
      </c>
      <c r="G171" s="24"/>
      <c r="H171" s="23">
        <f>SUM(G168:I168)+SUM(thVal8)</f>
        <v>2.1369280000000002</v>
      </c>
      <c r="I171" s="936">
        <f>H171</f>
        <v>2.1369280000000002</v>
      </c>
      <c r="J171" s="18" t="s">
        <v>739</v>
      </c>
      <c r="K171" s="25"/>
      <c r="M171" s="123"/>
      <c r="N171" s="123"/>
    </row>
    <row r="172" spans="1:23" ht="16.5" customHeight="1">
      <c r="A172" s="18" t="s">
        <v>256</v>
      </c>
      <c r="B172" s="18" t="s">
        <v>222</v>
      </c>
      <c r="F172" s="28" t="s">
        <v>242</v>
      </c>
      <c r="G172" s="24"/>
      <c r="H172" s="567">
        <v>1.8</v>
      </c>
      <c r="I172" s="937"/>
      <c r="K172" s="25"/>
      <c r="M172" s="123"/>
      <c r="N172" s="123"/>
    </row>
    <row r="173" spans="1:23" ht="16.5" customHeight="1">
      <c r="A173" s="18" t="s">
        <v>789</v>
      </c>
      <c r="B173" s="18" t="s">
        <v>790</v>
      </c>
      <c r="F173" s="28" t="s">
        <v>208</v>
      </c>
      <c r="G173" s="24"/>
      <c r="H173" s="27">
        <f>H171*H172</f>
        <v>3.8464704000000003</v>
      </c>
      <c r="I173" s="936">
        <f>H173</f>
        <v>3.8464704000000003</v>
      </c>
      <c r="J173" s="18" t="s">
        <v>734</v>
      </c>
      <c r="K173" s="25"/>
      <c r="M173" s="123"/>
      <c r="N173" s="123"/>
    </row>
    <row r="174" spans="1:23" s="881" customFormat="1" ht="16.5" customHeight="1">
      <c r="A174" s="881" t="s">
        <v>2825</v>
      </c>
      <c r="B174" s="881" t="s">
        <v>2826</v>
      </c>
      <c r="F174" s="882" t="s">
        <v>2824</v>
      </c>
      <c r="G174" s="170"/>
      <c r="H174" s="939">
        <v>0.56000000000000005</v>
      </c>
      <c r="I174" s="937"/>
      <c r="J174" s="18"/>
      <c r="K174" s="883"/>
      <c r="O174" s="138"/>
      <c r="P174" s="138"/>
      <c r="Q174" s="138"/>
      <c r="R174" s="138"/>
      <c r="S174" s="138"/>
      <c r="T174" s="138"/>
      <c r="U174" s="138"/>
      <c r="V174" s="138"/>
      <c r="W174" s="138"/>
    </row>
    <row r="175" spans="1:23" s="881" customFormat="1" ht="16.5" customHeight="1">
      <c r="A175" s="881" t="s">
        <v>2884</v>
      </c>
      <c r="B175" s="881" t="s">
        <v>2949</v>
      </c>
      <c r="F175" s="882" t="s">
        <v>2823</v>
      </c>
      <c r="G175" s="170"/>
      <c r="H175" s="940">
        <f>H171*H174</f>
        <v>1.1966796800000001</v>
      </c>
      <c r="I175" s="938">
        <f>H175</f>
        <v>1.1966796800000001</v>
      </c>
      <c r="J175" s="881" t="s">
        <v>2827</v>
      </c>
      <c r="K175" s="883"/>
      <c r="O175" s="138"/>
      <c r="P175" s="138"/>
      <c r="Q175" s="138"/>
      <c r="R175" s="138"/>
      <c r="S175" s="138"/>
      <c r="T175" s="138"/>
      <c r="U175" s="138"/>
      <c r="V175" s="138"/>
      <c r="W175" s="138"/>
    </row>
    <row r="176" spans="1:23" ht="6.6" customHeight="1">
      <c r="F176" s="28"/>
      <c r="M176" s="123"/>
      <c r="N176" s="123"/>
    </row>
    <row r="177" spans="1:24" ht="16.5" customHeight="1">
      <c r="A177" s="25" t="s">
        <v>298</v>
      </c>
      <c r="F177" s="28"/>
      <c r="M177" s="123"/>
      <c r="N177" s="123"/>
    </row>
    <row r="178" spans="1:24" ht="16.5" customHeight="1">
      <c r="A178" s="18" t="s">
        <v>793</v>
      </c>
      <c r="B178" s="18" t="s">
        <v>795</v>
      </c>
      <c r="F178" s="28" t="s">
        <v>227</v>
      </c>
      <c r="G178" s="1230">
        <f ca="1">J151*$G$134</f>
        <v>2753.8762727749095</v>
      </c>
      <c r="H178" s="1231"/>
      <c r="I178" s="18" t="s">
        <v>201</v>
      </c>
      <c r="J178" s="18" t="s">
        <v>228</v>
      </c>
      <c r="M178" s="123"/>
      <c r="N178" s="123"/>
    </row>
    <row r="179" spans="1:24" ht="16.5" customHeight="1">
      <c r="A179" s="18" t="s">
        <v>1962</v>
      </c>
      <c r="B179" s="18" t="s">
        <v>796</v>
      </c>
      <c r="F179" s="28" t="s">
        <v>260</v>
      </c>
      <c r="G179" s="1230">
        <f ca="1">I171*$G$134</f>
        <v>456.76445198607365</v>
      </c>
      <c r="H179" s="1231"/>
      <c r="I179" s="18" t="s">
        <v>201</v>
      </c>
      <c r="M179" s="123"/>
      <c r="N179" s="123"/>
    </row>
    <row r="180" spans="1:24" s="25" customFormat="1" ht="16.5" customHeight="1">
      <c r="A180" s="25" t="s">
        <v>794</v>
      </c>
      <c r="B180" s="25" t="s">
        <v>797</v>
      </c>
      <c r="F180" s="68"/>
      <c r="G180" s="1232">
        <f ca="1">(J153+I173)*$G$134</f>
        <v>5779.1533045697697</v>
      </c>
      <c r="H180" s="1233"/>
      <c r="I180" s="25" t="s">
        <v>201</v>
      </c>
      <c r="J180" s="25" t="s">
        <v>229</v>
      </c>
      <c r="M180" s="125"/>
      <c r="N180" s="125"/>
      <c r="O180" s="150"/>
      <c r="P180" s="150"/>
      <c r="Q180" s="150"/>
      <c r="R180" s="150"/>
      <c r="S180" s="150"/>
      <c r="T180" s="150"/>
      <c r="U180" s="150"/>
      <c r="V180" s="150"/>
      <c r="W180" s="150"/>
    </row>
    <row r="181" spans="1:24" ht="16.5" customHeight="1">
      <c r="E181" s="28"/>
      <c r="M181" s="123"/>
      <c r="N181" s="123"/>
    </row>
    <row r="182" spans="1:24" ht="16.5" customHeight="1">
      <c r="E182" s="28"/>
      <c r="M182" s="123"/>
      <c r="N182" s="123"/>
    </row>
    <row r="183" spans="1:24" s="187" customFormat="1" ht="16.5" hidden="1" customHeight="1">
      <c r="C183" s="187">
        <v>1</v>
      </c>
      <c r="D183" s="187">
        <v>2</v>
      </c>
      <c r="E183" s="187">
        <v>3</v>
      </c>
      <c r="F183" s="187">
        <v>4</v>
      </c>
      <c r="G183" s="187">
        <v>5</v>
      </c>
      <c r="H183" s="187">
        <v>6</v>
      </c>
      <c r="I183" s="187">
        <v>7</v>
      </c>
      <c r="J183" s="187">
        <v>8</v>
      </c>
      <c r="K183" s="187">
        <v>9</v>
      </c>
      <c r="L183" s="187">
        <v>10</v>
      </c>
      <c r="M183" s="187">
        <v>11</v>
      </c>
      <c r="N183" s="187">
        <v>12</v>
      </c>
    </row>
    <row r="184" spans="1:24" s="149" customFormat="1" hidden="1">
      <c r="B184" s="149" t="s">
        <v>622</v>
      </c>
      <c r="C184" s="149" t="s">
        <v>417</v>
      </c>
      <c r="D184" s="149" t="s">
        <v>418</v>
      </c>
      <c r="E184" s="149" t="s">
        <v>419</v>
      </c>
      <c r="F184" s="149" t="s">
        <v>420</v>
      </c>
      <c r="G184" s="149" t="s">
        <v>421</v>
      </c>
      <c r="H184" s="149" t="s">
        <v>422</v>
      </c>
      <c r="I184" s="149" t="s">
        <v>423</v>
      </c>
      <c r="J184" s="149" t="s">
        <v>424</v>
      </c>
      <c r="K184" s="149" t="s">
        <v>425</v>
      </c>
      <c r="L184" s="149" t="s">
        <v>426</v>
      </c>
      <c r="M184" s="149" t="s">
        <v>427</v>
      </c>
      <c r="N184" s="149" t="s">
        <v>688</v>
      </c>
      <c r="O184" s="844" t="s">
        <v>693</v>
      </c>
      <c r="P184" s="845" t="s">
        <v>1128</v>
      </c>
      <c r="Q184" s="846" t="s">
        <v>2656</v>
      </c>
      <c r="R184" s="847" t="s">
        <v>2772</v>
      </c>
      <c r="S184" s="845" t="s">
        <v>1129</v>
      </c>
    </row>
    <row r="185" spans="1:24" s="149" customFormat="1" hidden="1">
      <c r="A185" s="149" t="s">
        <v>405</v>
      </c>
      <c r="B185" s="207">
        <v>1</v>
      </c>
      <c r="C185" s="149">
        <v>4</v>
      </c>
      <c r="D185" s="149">
        <v>5</v>
      </c>
      <c r="E185" s="149">
        <v>112</v>
      </c>
      <c r="F185" s="149">
        <v>1</v>
      </c>
      <c r="G185" s="149">
        <v>27</v>
      </c>
      <c r="H185" s="149">
        <v>0</v>
      </c>
      <c r="I185" s="149">
        <v>19</v>
      </c>
      <c r="J185" s="149">
        <v>0</v>
      </c>
      <c r="K185" s="149">
        <v>0</v>
      </c>
      <c r="L185" s="149">
        <v>0</v>
      </c>
      <c r="M185" s="149">
        <v>0</v>
      </c>
      <c r="N185" s="149" t="s">
        <v>613</v>
      </c>
      <c r="O185" s="192" t="str">
        <f t="shared" ref="O185:O196" si="3">B185&amp;"#"&amp;C185&amp;"#"&amp;D185&amp;"#"&amp;E185&amp;"#"&amp;F185&amp;"#"&amp;G185&amp;"#"&amp;H185&amp;"#"&amp;I185&amp;"#"&amp;J185&amp;"#"&amp;K185&amp;"#"&amp;L185&amp;"#"&amp;M185</f>
        <v>1#4#5#112#1#27#0#19#0#0#0#0</v>
      </c>
      <c r="P185" s="193" t="s">
        <v>186</v>
      </c>
      <c r="Q185" s="824" t="s">
        <v>2657</v>
      </c>
      <c r="R185" s="843" t="str">
        <f>IF(C185&gt;2,"ANmax = 500 m², da ohne Zirkulation; ","")
&amp;IF(OR(I185=19,I185=13),"ANmax = 500 m², da Aufstellung Erzeuger innerhalb Hülle (rauamluftunabhängig); ","")
&amp;IF(OR(E185&gt;100),"ANmax = 3.000 m², da solare Trinkwassererwärmung; ","")</f>
        <v xml:space="preserve">ANmax = 500 m², da ohne Zirkulation; ANmax = 500 m², da Aufstellung Erzeuger innerhalb Hülle (rauamluftunabhängig); ANmax = 3.000 m², da solare Trinkwassererwärmung; </v>
      </c>
      <c r="S185" s="194" t="s">
        <v>177</v>
      </c>
      <c r="X185" s="193"/>
    </row>
    <row r="186" spans="1:24" s="149" customFormat="1" hidden="1">
      <c r="A186" s="149" t="s">
        <v>406</v>
      </c>
      <c r="B186" s="207">
        <v>2</v>
      </c>
      <c r="C186" s="149">
        <v>2</v>
      </c>
      <c r="D186" s="149">
        <v>1</v>
      </c>
      <c r="E186" s="149">
        <v>33</v>
      </c>
      <c r="F186" s="149">
        <v>1</v>
      </c>
      <c r="G186" s="149">
        <v>27</v>
      </c>
      <c r="H186" s="149">
        <v>0</v>
      </c>
      <c r="I186" s="149">
        <v>19</v>
      </c>
      <c r="J186" s="149">
        <v>7</v>
      </c>
      <c r="K186" s="149">
        <v>32</v>
      </c>
      <c r="L186" s="942">
        <v>13</v>
      </c>
      <c r="M186" s="149">
        <v>1</v>
      </c>
      <c r="N186" s="149" t="s">
        <v>613</v>
      </c>
      <c r="O186" s="192" t="str">
        <f t="shared" si="3"/>
        <v>2#2#1#33#1#27#0#19#7#32#13#1</v>
      </c>
      <c r="P186" s="193" t="s">
        <v>187</v>
      </c>
      <c r="Q186" s="824" t="s">
        <v>2659</v>
      </c>
      <c r="R186" s="843" t="str">
        <f t="shared" ref="R186:R196" si="4">IF(C186&gt;2,"ANmax = 500 m², da ohne Zirkulation; ","")
&amp;IF(OR(I186=19,I186=13),"ANmax = 500 m², da Aufstellung Erzeuger innerhalb Hülle (rauamluftunabhängig); ","")
&amp;IF(OR(E186&gt;100),"ANmax = 3.000 m², da solare Trinkwassererwärmung; ","")</f>
        <v xml:space="preserve">ANmax = 500 m², da Aufstellung Erzeuger innerhalb Hülle (rauamluftunabhängig); </v>
      </c>
      <c r="S186" s="196" t="s">
        <v>178</v>
      </c>
      <c r="T186" s="197"/>
      <c r="U186" s="197"/>
      <c r="X186" s="193"/>
    </row>
    <row r="187" spans="1:24" s="149" customFormat="1" hidden="1">
      <c r="A187" s="149" t="s">
        <v>407</v>
      </c>
      <c r="B187" s="207">
        <v>3</v>
      </c>
      <c r="C187" s="149">
        <v>2</v>
      </c>
      <c r="D187" s="149">
        <v>5</v>
      </c>
      <c r="E187" s="149">
        <v>111</v>
      </c>
      <c r="F187" s="149">
        <v>1</v>
      </c>
      <c r="G187" s="149">
        <v>27</v>
      </c>
      <c r="H187" s="149">
        <v>0</v>
      </c>
      <c r="I187" s="149">
        <v>19</v>
      </c>
      <c r="J187" s="149">
        <v>7</v>
      </c>
      <c r="K187" s="149">
        <v>32</v>
      </c>
      <c r="L187" s="942">
        <v>13</v>
      </c>
      <c r="M187" s="149">
        <v>1</v>
      </c>
      <c r="N187" s="149" t="s">
        <v>613</v>
      </c>
      <c r="O187" s="192" t="str">
        <f t="shared" si="3"/>
        <v>3#2#5#111#1#27#0#19#7#32#13#1</v>
      </c>
      <c r="P187" s="193" t="s">
        <v>188</v>
      </c>
      <c r="Q187" s="824" t="s">
        <v>2658</v>
      </c>
      <c r="R187" s="843" t="str">
        <f t="shared" si="4"/>
        <v xml:space="preserve">ANmax = 500 m², da Aufstellung Erzeuger innerhalb Hülle (rauamluftunabhängig); ANmax = 3.000 m², da solare Trinkwassererwärmung; </v>
      </c>
      <c r="S187" s="196" t="s">
        <v>179</v>
      </c>
      <c r="T187" s="198"/>
      <c r="U187" s="197"/>
      <c r="X187" s="193"/>
    </row>
    <row r="188" spans="1:24" s="149" customFormat="1" hidden="1">
      <c r="A188" s="149" t="s">
        <v>408</v>
      </c>
      <c r="B188" s="207">
        <v>4</v>
      </c>
      <c r="C188" s="149">
        <v>4</v>
      </c>
      <c r="D188" s="149">
        <v>5</v>
      </c>
      <c r="E188" s="149">
        <v>112</v>
      </c>
      <c r="F188" s="149">
        <v>1</v>
      </c>
      <c r="G188" s="149">
        <v>27</v>
      </c>
      <c r="H188" s="149">
        <v>0</v>
      </c>
      <c r="I188" s="149">
        <v>13</v>
      </c>
      <c r="J188" s="149">
        <v>0</v>
      </c>
      <c r="K188" s="149">
        <v>0</v>
      </c>
      <c r="L188" s="149">
        <v>0</v>
      </c>
      <c r="M188" s="149">
        <v>0</v>
      </c>
      <c r="N188" s="199" t="s">
        <v>689</v>
      </c>
      <c r="O188" s="192" t="str">
        <f t="shared" si="3"/>
        <v>4#4#5#112#1#27#0#13#0#0#0#0</v>
      </c>
      <c r="P188" s="193" t="s">
        <v>189</v>
      </c>
      <c r="Q188" s="824" t="s">
        <v>2660</v>
      </c>
      <c r="R188" s="843" t="str">
        <f t="shared" si="4"/>
        <v xml:space="preserve">ANmax = 500 m², da ohne Zirkulation; ANmax = 500 m², da Aufstellung Erzeuger innerhalb Hülle (rauamluftunabhängig); ANmax = 3.000 m², da solare Trinkwassererwärmung; </v>
      </c>
      <c r="S188" s="196" t="s">
        <v>180</v>
      </c>
      <c r="T188" s="198"/>
      <c r="U188" s="197"/>
      <c r="X188" s="193"/>
    </row>
    <row r="189" spans="1:24" s="149" customFormat="1" hidden="1">
      <c r="A189" s="149" t="s">
        <v>409</v>
      </c>
      <c r="B189" s="207">
        <v>5</v>
      </c>
      <c r="C189" s="149">
        <v>3</v>
      </c>
      <c r="D189" s="149">
        <v>7</v>
      </c>
      <c r="E189" s="149">
        <v>96</v>
      </c>
      <c r="F189" s="942">
        <v>12</v>
      </c>
      <c r="G189" s="149">
        <v>18</v>
      </c>
      <c r="H189" s="149">
        <v>4</v>
      </c>
      <c r="I189" s="149">
        <v>141</v>
      </c>
      <c r="J189" s="149">
        <v>0</v>
      </c>
      <c r="K189" s="149">
        <v>0</v>
      </c>
      <c r="L189" s="149">
        <v>0</v>
      </c>
      <c r="M189" s="149">
        <v>0</v>
      </c>
      <c r="N189" s="149" t="s">
        <v>613</v>
      </c>
      <c r="O189" s="192" t="str">
        <f t="shared" si="3"/>
        <v>5#3#7#96#12#18#4#141#0#0#0#0</v>
      </c>
      <c r="P189" s="193" t="s">
        <v>190</v>
      </c>
      <c r="Q189" s="824" t="s">
        <v>2661</v>
      </c>
      <c r="R189" s="843" t="str">
        <f t="shared" si="4"/>
        <v xml:space="preserve">ANmax = 500 m², da ohne Zirkulation; </v>
      </c>
      <c r="S189" s="196" t="s">
        <v>181</v>
      </c>
      <c r="T189" s="198"/>
      <c r="U189" s="197"/>
      <c r="X189" s="193"/>
    </row>
    <row r="190" spans="1:24" s="149" customFormat="1" hidden="1">
      <c r="A190" s="149" t="s">
        <v>410</v>
      </c>
      <c r="B190" s="207">
        <v>6</v>
      </c>
      <c r="C190" s="149">
        <v>3</v>
      </c>
      <c r="D190" s="149">
        <v>7</v>
      </c>
      <c r="E190" s="149">
        <v>96</v>
      </c>
      <c r="F190" s="942">
        <v>12</v>
      </c>
      <c r="G190" s="149">
        <v>18</v>
      </c>
      <c r="H190" s="149">
        <v>4</v>
      </c>
      <c r="I190" s="149">
        <v>141</v>
      </c>
      <c r="J190" s="149">
        <v>7</v>
      </c>
      <c r="K190" s="149">
        <v>32</v>
      </c>
      <c r="L190" s="942">
        <v>13</v>
      </c>
      <c r="M190" s="149">
        <v>1</v>
      </c>
      <c r="N190" s="149" t="s">
        <v>613</v>
      </c>
      <c r="O190" s="192" t="str">
        <f t="shared" si="3"/>
        <v>6#3#7#96#12#18#4#141#7#32#13#1</v>
      </c>
      <c r="P190" s="193" t="s">
        <v>191</v>
      </c>
      <c r="Q190" s="824" t="s">
        <v>2662</v>
      </c>
      <c r="R190" s="843" t="str">
        <f t="shared" si="4"/>
        <v xml:space="preserve">ANmax = 500 m², da ohne Zirkulation; </v>
      </c>
      <c r="S190" s="196" t="s">
        <v>182</v>
      </c>
      <c r="T190" s="198"/>
      <c r="U190" s="197"/>
      <c r="X190" s="193"/>
    </row>
    <row r="191" spans="1:24" s="149" customFormat="1" hidden="1">
      <c r="A191" s="149" t="s">
        <v>411</v>
      </c>
      <c r="B191" s="207">
        <v>7</v>
      </c>
      <c r="C191" s="149">
        <v>3</v>
      </c>
      <c r="D191" s="149">
        <v>7</v>
      </c>
      <c r="E191" s="149">
        <v>97</v>
      </c>
      <c r="F191" s="942">
        <v>12</v>
      </c>
      <c r="G191" s="149">
        <v>18</v>
      </c>
      <c r="H191" s="149">
        <v>4</v>
      </c>
      <c r="I191" s="149">
        <v>161</v>
      </c>
      <c r="J191" s="149">
        <v>0</v>
      </c>
      <c r="K191" s="149">
        <v>0</v>
      </c>
      <c r="L191" s="149">
        <v>0</v>
      </c>
      <c r="M191" s="149">
        <v>0</v>
      </c>
      <c r="N191" s="149" t="s">
        <v>613</v>
      </c>
      <c r="O191" s="192" t="str">
        <f t="shared" si="3"/>
        <v>7#3#7#97#12#18#4#161#0#0#0#0</v>
      </c>
      <c r="P191" s="193" t="s">
        <v>192</v>
      </c>
      <c r="Q191" s="824" t="s">
        <v>2663</v>
      </c>
      <c r="R191" s="843" t="str">
        <f t="shared" si="4"/>
        <v xml:space="preserve">ANmax = 500 m², da ohne Zirkulation; </v>
      </c>
      <c r="S191" s="196" t="s">
        <v>183</v>
      </c>
      <c r="T191" s="198"/>
      <c r="U191" s="197"/>
      <c r="X191" s="193"/>
    </row>
    <row r="192" spans="1:24" s="149" customFormat="1" hidden="1">
      <c r="A192" s="149" t="s">
        <v>412</v>
      </c>
      <c r="B192" s="207">
        <v>8</v>
      </c>
      <c r="C192" s="149">
        <v>3</v>
      </c>
      <c r="D192" s="149">
        <v>7</v>
      </c>
      <c r="E192" s="149">
        <v>97</v>
      </c>
      <c r="F192" s="942">
        <v>12</v>
      </c>
      <c r="G192" s="149">
        <v>18</v>
      </c>
      <c r="H192" s="149">
        <v>4</v>
      </c>
      <c r="I192" s="149">
        <v>161</v>
      </c>
      <c r="J192" s="149">
        <v>7</v>
      </c>
      <c r="K192" s="149">
        <v>32</v>
      </c>
      <c r="L192" s="942">
        <v>13</v>
      </c>
      <c r="M192" s="149">
        <v>1</v>
      </c>
      <c r="N192" s="149" t="s">
        <v>613</v>
      </c>
      <c r="O192" s="192" t="str">
        <f t="shared" si="3"/>
        <v>8#3#7#97#12#18#4#161#7#32#13#1</v>
      </c>
      <c r="P192" s="193" t="s">
        <v>193</v>
      </c>
      <c r="Q192" s="824" t="s">
        <v>2664</v>
      </c>
      <c r="R192" s="843" t="str">
        <f t="shared" si="4"/>
        <v xml:space="preserve">ANmax = 500 m², da ohne Zirkulation; </v>
      </c>
      <c r="S192" s="196" t="s">
        <v>184</v>
      </c>
      <c r="T192" s="198"/>
      <c r="U192" s="197"/>
      <c r="X192" s="193"/>
    </row>
    <row r="193" spans="1:25" s="149" customFormat="1" hidden="1">
      <c r="A193" s="149" t="s">
        <v>413</v>
      </c>
      <c r="B193" s="207">
        <v>9</v>
      </c>
      <c r="C193" s="767">
        <v>2</v>
      </c>
      <c r="D193" s="767">
        <v>5</v>
      </c>
      <c r="E193" s="767">
        <v>111</v>
      </c>
      <c r="F193" s="767">
        <v>1</v>
      </c>
      <c r="G193" s="767">
        <v>27</v>
      </c>
      <c r="H193" s="767">
        <v>0</v>
      </c>
      <c r="I193" s="767">
        <v>19</v>
      </c>
      <c r="J193" s="767">
        <v>7</v>
      </c>
      <c r="K193" s="767">
        <v>0</v>
      </c>
      <c r="L193" s="767">
        <v>22</v>
      </c>
      <c r="M193" s="767">
        <v>1</v>
      </c>
      <c r="N193" s="767" t="s">
        <v>613</v>
      </c>
      <c r="O193" s="192" t="str">
        <f t="shared" si="3"/>
        <v>9#2#5#111#1#27#0#19#7#0#22#1</v>
      </c>
      <c r="P193" s="193" t="s">
        <v>3275</v>
      </c>
      <c r="Q193" s="824" t="s">
        <v>3277</v>
      </c>
      <c r="R193" s="843" t="str">
        <f t="shared" si="4"/>
        <v xml:space="preserve">ANmax = 500 m², da Aufstellung Erzeuger innerhalb Hülle (rauamluftunabhängig); ANmax = 3.000 m², da solare Trinkwassererwärmung; </v>
      </c>
      <c r="S193" s="196" t="s">
        <v>3273</v>
      </c>
      <c r="T193" s="198"/>
      <c r="U193" s="197"/>
      <c r="X193" s="193"/>
    </row>
    <row r="194" spans="1:25" s="149" customFormat="1" hidden="1">
      <c r="A194" s="149" t="s">
        <v>414</v>
      </c>
      <c r="B194" s="207">
        <v>10</v>
      </c>
      <c r="C194" s="767">
        <v>2</v>
      </c>
      <c r="D194" s="767">
        <v>7</v>
      </c>
      <c r="E194" s="767">
        <v>113</v>
      </c>
      <c r="F194" s="767">
        <v>1</v>
      </c>
      <c r="G194" s="767">
        <v>27</v>
      </c>
      <c r="H194" s="767">
        <v>0</v>
      </c>
      <c r="I194" s="767">
        <v>9</v>
      </c>
      <c r="J194" s="767">
        <v>7</v>
      </c>
      <c r="K194" s="767">
        <v>0</v>
      </c>
      <c r="L194" s="767">
        <v>22</v>
      </c>
      <c r="M194" s="767">
        <v>1</v>
      </c>
      <c r="N194" s="768" t="s">
        <v>690</v>
      </c>
      <c r="O194" s="192" t="str">
        <f t="shared" si="3"/>
        <v>10#2#7#113#1#27#0#9#7#0#22#1</v>
      </c>
      <c r="P194" s="193" t="s">
        <v>3276</v>
      </c>
      <c r="Q194" s="824" t="s">
        <v>3278</v>
      </c>
      <c r="R194" s="843" t="str">
        <f t="shared" si="4"/>
        <v xml:space="preserve">ANmax = 3.000 m², da solare Trinkwassererwärmung; </v>
      </c>
      <c r="S194" s="196" t="s">
        <v>3274</v>
      </c>
      <c r="T194" s="198"/>
      <c r="U194" s="197"/>
      <c r="X194" s="193"/>
    </row>
    <row r="195" spans="1:25" s="149" customFormat="1" hidden="1">
      <c r="A195" s="149" t="s">
        <v>415</v>
      </c>
      <c r="B195" s="207">
        <v>11</v>
      </c>
      <c r="C195" s="149">
        <v>4</v>
      </c>
      <c r="D195" s="149">
        <v>1</v>
      </c>
      <c r="E195" s="149">
        <v>33</v>
      </c>
      <c r="F195" s="149">
        <v>1</v>
      </c>
      <c r="G195" s="149">
        <v>27</v>
      </c>
      <c r="H195" s="149">
        <v>0</v>
      </c>
      <c r="I195" s="149">
        <v>19</v>
      </c>
      <c r="J195" s="149">
        <v>0</v>
      </c>
      <c r="K195" s="149">
        <v>0</v>
      </c>
      <c r="L195" s="149">
        <v>0</v>
      </c>
      <c r="M195" s="149">
        <v>0</v>
      </c>
      <c r="N195" s="149" t="s">
        <v>613</v>
      </c>
      <c r="O195" s="192" t="str">
        <f t="shared" si="3"/>
        <v>11#4#1#33#1#27#0#19#0#0#0#0</v>
      </c>
      <c r="P195" s="193" t="s">
        <v>194</v>
      </c>
      <c r="Q195" s="824" t="s">
        <v>2665</v>
      </c>
      <c r="R195" s="843" t="str">
        <f t="shared" si="4"/>
        <v xml:space="preserve">ANmax = 500 m², da ohne Zirkulation; ANmax = 500 m², da Aufstellung Erzeuger innerhalb Hülle (rauamluftunabhängig); </v>
      </c>
      <c r="S195" s="196" t="s">
        <v>2609</v>
      </c>
      <c r="T195" s="197"/>
      <c r="U195" s="197"/>
      <c r="X195" s="193"/>
    </row>
    <row r="196" spans="1:25" s="149" customFormat="1" hidden="1">
      <c r="A196" s="149" t="s">
        <v>416</v>
      </c>
      <c r="B196" s="207">
        <v>12</v>
      </c>
      <c r="C196" s="149">
        <v>2</v>
      </c>
      <c r="D196" s="149">
        <v>7</v>
      </c>
      <c r="E196" s="149">
        <v>33</v>
      </c>
      <c r="F196" s="149">
        <v>1</v>
      </c>
      <c r="G196" s="149">
        <v>27</v>
      </c>
      <c r="H196" s="149">
        <v>0</v>
      </c>
      <c r="I196" s="149">
        <v>9</v>
      </c>
      <c r="J196" s="149">
        <v>0</v>
      </c>
      <c r="K196" s="149">
        <v>0</v>
      </c>
      <c r="L196" s="149">
        <v>0</v>
      </c>
      <c r="M196" s="149">
        <v>0</v>
      </c>
      <c r="N196" s="199" t="s">
        <v>691</v>
      </c>
      <c r="O196" s="192" t="str">
        <f t="shared" si="3"/>
        <v>12#2#7#33#1#27#0#9#0#0#0#0</v>
      </c>
      <c r="P196" s="193" t="s">
        <v>195</v>
      </c>
      <c r="Q196" s="824" t="s">
        <v>2666</v>
      </c>
      <c r="R196" s="843" t="str">
        <f t="shared" si="4"/>
        <v/>
      </c>
      <c r="S196" s="200" t="s">
        <v>2610</v>
      </c>
      <c r="T196" s="187"/>
      <c r="U196" s="187"/>
      <c r="X196" s="193"/>
      <c r="Y196" s="193"/>
    </row>
    <row r="197" spans="1:25" s="890" customFormat="1" hidden="1">
      <c r="A197" s="890" t="str">
        <f>S197</f>
        <v>BW</v>
      </c>
      <c r="C197" s="890">
        <v>2</v>
      </c>
      <c r="D197" s="890">
        <v>1</v>
      </c>
      <c r="E197" s="890">
        <v>33</v>
      </c>
      <c r="F197" s="890">
        <v>1</v>
      </c>
      <c r="G197" s="890">
        <v>27</v>
      </c>
      <c r="H197" s="890">
        <v>0</v>
      </c>
      <c r="I197" s="890">
        <v>19</v>
      </c>
      <c r="J197" s="890">
        <v>0</v>
      </c>
      <c r="K197" s="890">
        <v>0</v>
      </c>
      <c r="L197" s="890">
        <v>0</v>
      </c>
      <c r="M197" s="890">
        <v>0</v>
      </c>
      <c r="O197" s="891"/>
      <c r="P197" s="892"/>
      <c r="R197" s="892"/>
      <c r="S197" s="892" t="s">
        <v>195</v>
      </c>
      <c r="T197" s="891"/>
      <c r="U197" s="891"/>
      <c r="X197" s="892"/>
      <c r="Y197" s="892"/>
    </row>
    <row r="198" spans="1:25" s="890" customFormat="1" hidden="1">
      <c r="A198" s="890" t="str">
        <f t="shared" ref="A198:A209" si="5">S198</f>
        <v>BW_sol</v>
      </c>
      <c r="C198" s="890">
        <v>2</v>
      </c>
      <c r="D198" s="890">
        <v>5</v>
      </c>
      <c r="E198" s="890">
        <v>111</v>
      </c>
      <c r="F198" s="890">
        <v>1</v>
      </c>
      <c r="G198" s="890">
        <v>27</v>
      </c>
      <c r="H198" s="890">
        <v>0</v>
      </c>
      <c r="I198" s="890">
        <v>19</v>
      </c>
      <c r="J198" s="890">
        <v>0</v>
      </c>
      <c r="K198" s="890">
        <v>0</v>
      </c>
      <c r="L198" s="890">
        <v>0</v>
      </c>
      <c r="M198" s="890">
        <v>0</v>
      </c>
      <c r="O198" s="891"/>
      <c r="P198" s="892"/>
      <c r="R198" s="892"/>
      <c r="S198" s="892" t="s">
        <v>2855</v>
      </c>
      <c r="T198" s="891"/>
      <c r="U198" s="891"/>
      <c r="X198" s="892"/>
      <c r="Y198" s="892"/>
    </row>
    <row r="199" spans="1:25" s="890" customFormat="1" hidden="1">
      <c r="A199" s="890" t="str">
        <f t="shared" si="5"/>
        <v>Nieder</v>
      </c>
      <c r="C199" s="890">
        <v>1</v>
      </c>
      <c r="D199" s="890">
        <v>1</v>
      </c>
      <c r="E199" s="890">
        <v>2</v>
      </c>
      <c r="F199" s="890">
        <v>2</v>
      </c>
      <c r="G199" s="890">
        <v>32</v>
      </c>
      <c r="H199" s="890">
        <v>0</v>
      </c>
      <c r="I199" s="890">
        <v>2</v>
      </c>
      <c r="J199" s="890">
        <v>0</v>
      </c>
      <c r="K199" s="890">
        <v>0</v>
      </c>
      <c r="L199" s="890">
        <v>0</v>
      </c>
      <c r="M199" s="890">
        <v>0</v>
      </c>
      <c r="O199" s="891"/>
      <c r="P199" s="892"/>
      <c r="R199" s="892"/>
      <c r="S199" s="892" t="s">
        <v>2856</v>
      </c>
      <c r="T199" s="891"/>
      <c r="U199" s="891"/>
      <c r="X199" s="892"/>
      <c r="Y199" s="892"/>
    </row>
    <row r="200" spans="1:25" s="890" customFormat="1" hidden="1">
      <c r="A200" s="890" t="str">
        <f t="shared" si="5"/>
        <v>Nieder-Lüftung</v>
      </c>
      <c r="C200" s="890">
        <v>1</v>
      </c>
      <c r="D200" s="890">
        <v>1</v>
      </c>
      <c r="E200" s="890">
        <v>2</v>
      </c>
      <c r="F200" s="890">
        <v>2</v>
      </c>
      <c r="G200" s="890">
        <v>32</v>
      </c>
      <c r="H200" s="890">
        <v>0</v>
      </c>
      <c r="I200" s="890">
        <v>2</v>
      </c>
      <c r="J200" s="890">
        <v>7</v>
      </c>
      <c r="K200" s="890">
        <v>31</v>
      </c>
      <c r="L200" s="890">
        <v>11</v>
      </c>
      <c r="M200" s="890">
        <v>1</v>
      </c>
      <c r="O200" s="891"/>
      <c r="P200" s="892"/>
      <c r="R200" s="892"/>
      <c r="S200" s="892" t="s">
        <v>2857</v>
      </c>
      <c r="T200" s="891"/>
      <c r="U200" s="891"/>
      <c r="X200" s="892"/>
      <c r="Y200" s="892"/>
    </row>
    <row r="201" spans="1:25" s="890" customFormat="1" hidden="1">
      <c r="A201" s="890" t="str">
        <f t="shared" si="5"/>
        <v>Konst</v>
      </c>
      <c r="C201" s="890">
        <v>1</v>
      </c>
      <c r="D201" s="890">
        <v>1</v>
      </c>
      <c r="E201" s="890">
        <v>1</v>
      </c>
      <c r="F201" s="890">
        <v>2</v>
      </c>
      <c r="G201" s="890">
        <v>32</v>
      </c>
      <c r="H201" s="890">
        <v>0</v>
      </c>
      <c r="I201" s="890">
        <v>1</v>
      </c>
      <c r="J201" s="890">
        <v>0</v>
      </c>
      <c r="K201" s="890">
        <v>0</v>
      </c>
      <c r="L201" s="890">
        <v>0</v>
      </c>
      <c r="M201" s="890">
        <v>0</v>
      </c>
      <c r="O201" s="891"/>
      <c r="P201" s="892"/>
      <c r="R201" s="892"/>
      <c r="S201" s="892" t="s">
        <v>2858</v>
      </c>
      <c r="T201" s="891"/>
      <c r="U201" s="891"/>
      <c r="X201" s="892"/>
      <c r="Y201" s="892"/>
    </row>
    <row r="202" spans="1:25" s="890" customFormat="1" hidden="1">
      <c r="A202" s="890" t="str">
        <f t="shared" si="5"/>
        <v>Konst-Solar</v>
      </c>
      <c r="C202" s="890">
        <v>1</v>
      </c>
      <c r="D202" s="890">
        <v>11</v>
      </c>
      <c r="E202" s="890">
        <v>113</v>
      </c>
      <c r="F202" s="890">
        <v>2</v>
      </c>
      <c r="G202" s="890">
        <v>32</v>
      </c>
      <c r="H202" s="890">
        <v>0</v>
      </c>
      <c r="I202" s="890">
        <v>1</v>
      </c>
      <c r="J202" s="890">
        <v>0</v>
      </c>
      <c r="K202" s="890">
        <v>0</v>
      </c>
      <c r="L202" s="890">
        <v>0</v>
      </c>
      <c r="M202" s="890">
        <v>0</v>
      </c>
      <c r="O202" s="891"/>
      <c r="P202" s="892"/>
      <c r="R202" s="892"/>
      <c r="S202" s="892" t="s">
        <v>2859</v>
      </c>
      <c r="T202" s="891"/>
      <c r="U202" s="891"/>
      <c r="X202" s="892"/>
      <c r="Y202" s="892"/>
    </row>
    <row r="203" spans="1:25" s="890" customFormat="1" hidden="1">
      <c r="A203" s="890" t="str">
        <f t="shared" si="5"/>
        <v>Pellet</v>
      </c>
      <c r="C203" s="890">
        <v>2</v>
      </c>
      <c r="D203" s="890">
        <v>1</v>
      </c>
      <c r="E203" s="890">
        <v>200</v>
      </c>
      <c r="F203" s="890">
        <v>1</v>
      </c>
      <c r="G203" s="890">
        <v>27</v>
      </c>
      <c r="H203" s="890">
        <v>1</v>
      </c>
      <c r="I203" s="890">
        <v>200</v>
      </c>
      <c r="J203" s="890">
        <v>0</v>
      </c>
      <c r="K203" s="890">
        <v>0</v>
      </c>
      <c r="L203" s="890">
        <v>0</v>
      </c>
      <c r="M203" s="890">
        <v>0</v>
      </c>
      <c r="O203" s="891"/>
      <c r="P203" s="892"/>
      <c r="R203" s="892"/>
      <c r="S203" s="892" t="s">
        <v>2860</v>
      </c>
      <c r="T203" s="891"/>
      <c r="U203" s="891"/>
      <c r="X203" s="892"/>
      <c r="Y203" s="892"/>
    </row>
    <row r="204" spans="1:25" s="890" customFormat="1" hidden="1">
      <c r="A204" s="890" t="str">
        <f t="shared" si="5"/>
        <v>Pellet-Lüftung</v>
      </c>
      <c r="C204" s="890">
        <v>2</v>
      </c>
      <c r="D204" s="890">
        <v>1</v>
      </c>
      <c r="E204" s="890">
        <v>200</v>
      </c>
      <c r="F204" s="890">
        <v>1</v>
      </c>
      <c r="G204" s="890">
        <v>27</v>
      </c>
      <c r="H204" s="890">
        <v>1</v>
      </c>
      <c r="I204" s="890">
        <v>200</v>
      </c>
      <c r="J204" s="890">
        <v>7</v>
      </c>
      <c r="K204" s="890">
        <v>32</v>
      </c>
      <c r="L204" s="890">
        <v>13</v>
      </c>
      <c r="M204" s="890">
        <v>1</v>
      </c>
      <c r="O204" s="891"/>
      <c r="P204" s="892"/>
      <c r="R204" s="892"/>
      <c r="S204" s="892" t="s">
        <v>2861</v>
      </c>
      <c r="T204" s="891"/>
      <c r="U204" s="891"/>
      <c r="X204" s="892"/>
      <c r="Y204" s="892"/>
    </row>
    <row r="205" spans="1:25" s="890" customFormat="1" hidden="1">
      <c r="A205" s="890" t="str">
        <f t="shared" si="5"/>
        <v>WP-Luft</v>
      </c>
      <c r="C205" s="890">
        <v>2</v>
      </c>
      <c r="D205" s="890">
        <v>1</v>
      </c>
      <c r="E205" s="890">
        <v>93</v>
      </c>
      <c r="F205" s="890">
        <v>1</v>
      </c>
      <c r="G205" s="890">
        <v>27</v>
      </c>
      <c r="H205" s="890">
        <v>0</v>
      </c>
      <c r="I205" s="890">
        <v>162</v>
      </c>
      <c r="J205" s="890">
        <v>0</v>
      </c>
      <c r="K205" s="890">
        <v>0</v>
      </c>
      <c r="L205" s="890">
        <v>0</v>
      </c>
      <c r="M205" s="890">
        <v>0</v>
      </c>
      <c r="O205" s="891"/>
      <c r="P205" s="892"/>
      <c r="R205" s="892"/>
      <c r="S205" s="892" t="s">
        <v>2862</v>
      </c>
      <c r="T205" s="891"/>
      <c r="U205" s="891"/>
      <c r="X205" s="892"/>
      <c r="Y205" s="892"/>
    </row>
    <row r="206" spans="1:25" s="890" customFormat="1" hidden="1">
      <c r="A206" s="890" t="str">
        <f t="shared" si="5"/>
        <v>WP-Luft-Lüftung</v>
      </c>
      <c r="C206" s="890">
        <v>2</v>
      </c>
      <c r="D206" s="890">
        <v>1</v>
      </c>
      <c r="E206" s="890">
        <v>93</v>
      </c>
      <c r="F206" s="890">
        <v>1</v>
      </c>
      <c r="G206" s="890">
        <v>27</v>
      </c>
      <c r="H206" s="890">
        <v>0</v>
      </c>
      <c r="I206" s="890">
        <v>162</v>
      </c>
      <c r="J206" s="890">
        <v>7</v>
      </c>
      <c r="K206" s="890">
        <v>32</v>
      </c>
      <c r="L206" s="890">
        <v>13</v>
      </c>
      <c r="M206" s="890">
        <v>1</v>
      </c>
      <c r="O206" s="891"/>
      <c r="P206" s="892"/>
      <c r="R206" s="892"/>
      <c r="S206" s="892" t="s">
        <v>2863</v>
      </c>
      <c r="T206" s="891"/>
      <c r="U206" s="891"/>
      <c r="X206" s="892"/>
      <c r="Y206" s="892"/>
    </row>
    <row r="207" spans="1:25" s="890" customFormat="1" hidden="1">
      <c r="A207" s="890" t="str">
        <f t="shared" si="5"/>
        <v>WP-Sole</v>
      </c>
      <c r="C207" s="890">
        <v>2</v>
      </c>
      <c r="D207" s="890">
        <v>1</v>
      </c>
      <c r="E207" s="890">
        <v>92</v>
      </c>
      <c r="F207" s="890">
        <v>1</v>
      </c>
      <c r="G207" s="890">
        <v>27</v>
      </c>
      <c r="H207" s="890">
        <v>0</v>
      </c>
      <c r="I207" s="890">
        <v>142</v>
      </c>
      <c r="J207" s="890">
        <v>0</v>
      </c>
      <c r="K207" s="890">
        <v>0</v>
      </c>
      <c r="L207" s="890">
        <v>0</v>
      </c>
      <c r="M207" s="890">
        <v>0</v>
      </c>
      <c r="O207" s="891"/>
      <c r="P207" s="892"/>
      <c r="R207" s="892"/>
      <c r="S207" s="892" t="s">
        <v>2864</v>
      </c>
      <c r="T207" s="891"/>
      <c r="U207" s="891"/>
      <c r="X207" s="892"/>
      <c r="Y207" s="892"/>
    </row>
    <row r="208" spans="1:25" s="890" customFormat="1" hidden="1">
      <c r="A208" s="890" t="str">
        <f t="shared" si="5"/>
        <v>WP-Sole-Lüftung</v>
      </c>
      <c r="C208" s="890">
        <v>2</v>
      </c>
      <c r="D208" s="890">
        <v>1</v>
      </c>
      <c r="E208" s="890">
        <v>92</v>
      </c>
      <c r="F208" s="890">
        <v>1</v>
      </c>
      <c r="G208" s="890">
        <v>27</v>
      </c>
      <c r="H208" s="890">
        <v>0</v>
      </c>
      <c r="I208" s="890">
        <v>142</v>
      </c>
      <c r="J208" s="890">
        <v>7</v>
      </c>
      <c r="K208" s="890">
        <v>32</v>
      </c>
      <c r="L208" s="890">
        <v>13</v>
      </c>
      <c r="M208" s="890">
        <v>1</v>
      </c>
      <c r="O208" s="891"/>
      <c r="P208" s="892"/>
      <c r="R208" s="892"/>
      <c r="S208" s="892" t="s">
        <v>2865</v>
      </c>
      <c r="T208" s="891"/>
      <c r="U208" s="891"/>
      <c r="X208" s="892"/>
      <c r="Y208" s="892"/>
    </row>
    <row r="209" spans="1:25" s="890" customFormat="1" hidden="1">
      <c r="A209" s="890" t="str">
        <f t="shared" si="5"/>
        <v>FW</v>
      </c>
      <c r="C209" s="890">
        <v>2</v>
      </c>
      <c r="D209" s="890">
        <v>1</v>
      </c>
      <c r="E209" s="890">
        <v>10</v>
      </c>
      <c r="F209" s="890">
        <v>1</v>
      </c>
      <c r="G209" s="890">
        <v>27</v>
      </c>
      <c r="H209" s="890">
        <v>0</v>
      </c>
      <c r="I209" s="890">
        <v>22</v>
      </c>
      <c r="J209" s="890">
        <v>0</v>
      </c>
      <c r="K209" s="890">
        <v>0</v>
      </c>
      <c r="L209" s="890">
        <v>0</v>
      </c>
      <c r="M209" s="890">
        <v>0</v>
      </c>
      <c r="O209" s="891"/>
      <c r="P209" s="892"/>
      <c r="R209" s="892"/>
      <c r="S209" s="892" t="s">
        <v>2866</v>
      </c>
      <c r="T209" s="891"/>
      <c r="U209" s="891"/>
      <c r="X209" s="892"/>
      <c r="Y209" s="892"/>
    </row>
    <row r="210" spans="1:25" s="149" customFormat="1" hidden="1">
      <c r="N210" s="199"/>
      <c r="O210" s="192"/>
      <c r="P210" s="193"/>
      <c r="Q210" s="824"/>
      <c r="R210" s="843"/>
      <c r="S210" s="193"/>
      <c r="T210" s="187"/>
      <c r="U210" s="187"/>
      <c r="X210" s="193"/>
      <c r="Y210" s="193"/>
    </row>
    <row r="211" spans="1:25" s="149" customFormat="1" hidden="1">
      <c r="M211" s="199" t="s">
        <v>692</v>
      </c>
      <c r="O211" s="201"/>
      <c r="S211" s="187"/>
      <c r="T211" s="187"/>
      <c r="U211" s="187"/>
      <c r="Y211" s="193"/>
    </row>
    <row r="212" spans="1:25" s="187" customFormat="1" hidden="1">
      <c r="D212" s="187" t="s">
        <v>1130</v>
      </c>
      <c r="E212" s="202"/>
      <c r="M212" s="203"/>
      <c r="N212" s="203"/>
      <c r="O212" s="187" t="s">
        <v>1131</v>
      </c>
      <c r="P212" s="192" t="s">
        <v>1148</v>
      </c>
      <c r="Q212" s="204" t="s">
        <v>1151</v>
      </c>
      <c r="V212" s="187" t="s">
        <v>1127</v>
      </c>
    </row>
    <row r="213" spans="1:25" s="149" customFormat="1" hidden="1">
      <c r="A213" s="149" t="str">
        <f t="shared" ref="A213:A244" si="6">B213&amp;"#"&amp;C213</f>
        <v>TW_d#0</v>
      </c>
      <c r="B213" s="210" t="s">
        <v>417</v>
      </c>
      <c r="C213" s="149">
        <v>0</v>
      </c>
      <c r="D213" s="205" t="s">
        <v>634</v>
      </c>
      <c r="O213" s="187" t="str">
        <f>D213</f>
        <v>- keine Verteilung</v>
      </c>
      <c r="P213" s="187"/>
      <c r="Q213" s="187"/>
      <c r="R213" s="187"/>
      <c r="S213" s="187"/>
      <c r="T213" s="187"/>
      <c r="U213" s="187"/>
      <c r="V213" s="206" t="s">
        <v>428</v>
      </c>
    </row>
    <row r="214" spans="1:25" s="149" customFormat="1" hidden="1">
      <c r="A214" s="149" t="str">
        <f t="shared" si="6"/>
        <v>TW_d#1</v>
      </c>
      <c r="B214" s="211" t="str">
        <f t="shared" ref="B214:B221" si="7">B213</f>
        <v>TW_d</v>
      </c>
      <c r="C214" s="149">
        <v>1</v>
      </c>
      <c r="D214" s="205" t="s">
        <v>670</v>
      </c>
      <c r="O214" s="187" t="str">
        <f t="shared" ref="O214:O269" si="8">D214</f>
        <v>außerhalb thermischer Hülle, mit Zirkulation</v>
      </c>
      <c r="P214" s="187"/>
      <c r="Q214" s="187"/>
      <c r="R214" s="187"/>
      <c r="S214" s="187"/>
      <c r="T214" s="187"/>
      <c r="U214" s="187"/>
      <c r="V214" s="206" t="s">
        <v>429</v>
      </c>
    </row>
    <row r="215" spans="1:25" s="149" customFormat="1" hidden="1">
      <c r="A215" s="149" t="str">
        <f t="shared" si="6"/>
        <v>TW_d#2</v>
      </c>
      <c r="B215" s="211" t="str">
        <f t="shared" si="7"/>
        <v>TW_d</v>
      </c>
      <c r="C215" s="149">
        <v>2</v>
      </c>
      <c r="D215" s="149" t="s">
        <v>671</v>
      </c>
      <c r="O215" s="187" t="str">
        <f t="shared" si="8"/>
        <v>innerhalb thermischer Hülle, mit Zirkulation</v>
      </c>
      <c r="P215" s="187"/>
      <c r="Q215" s="187"/>
      <c r="R215" s="187"/>
      <c r="S215" s="187"/>
      <c r="T215" s="187"/>
      <c r="U215" s="187"/>
      <c r="V215" s="206" t="s">
        <v>430</v>
      </c>
    </row>
    <row r="216" spans="1:25" s="149" customFormat="1" hidden="1">
      <c r="A216" s="149" t="str">
        <f t="shared" si="6"/>
        <v>TW_d#3</v>
      </c>
      <c r="B216" s="211" t="str">
        <f t="shared" si="7"/>
        <v>TW_d</v>
      </c>
      <c r="C216" s="149">
        <v>3</v>
      </c>
      <c r="D216" s="149" t="s">
        <v>672</v>
      </c>
      <c r="O216" s="187" t="str">
        <f t="shared" si="8"/>
        <v>außerhalb thermischer Hülle, ohne Zirkulation</v>
      </c>
      <c r="P216" s="187"/>
      <c r="Q216" s="187"/>
      <c r="R216" s="187"/>
      <c r="S216" s="187"/>
      <c r="T216" s="187"/>
      <c r="U216" s="187"/>
      <c r="V216" s="206" t="s">
        <v>431</v>
      </c>
    </row>
    <row r="217" spans="1:25" s="149" customFormat="1" hidden="1">
      <c r="A217" s="149" t="str">
        <f t="shared" si="6"/>
        <v>TW_d#4</v>
      </c>
      <c r="B217" s="211" t="str">
        <f t="shared" si="7"/>
        <v>TW_d</v>
      </c>
      <c r="C217" s="149">
        <v>4</v>
      </c>
      <c r="D217" s="149" t="s">
        <v>673</v>
      </c>
      <c r="O217" s="187" t="str">
        <f t="shared" si="8"/>
        <v>innerhalb thermischer Hülle, ohne Zirkulation</v>
      </c>
      <c r="P217" s="187"/>
      <c r="Q217" s="187"/>
      <c r="R217" s="187"/>
      <c r="S217" s="187"/>
      <c r="T217" s="187"/>
      <c r="U217" s="187"/>
      <c r="V217" s="206" t="s">
        <v>432</v>
      </c>
    </row>
    <row r="218" spans="1:25" s="149" customFormat="1" hidden="1">
      <c r="A218" s="149" t="str">
        <f t="shared" si="6"/>
        <v>TW_d#5</v>
      </c>
      <c r="B218" s="211" t="str">
        <f t="shared" si="7"/>
        <v>TW_d</v>
      </c>
      <c r="C218" s="149">
        <v>5</v>
      </c>
      <c r="D218" s="207" t="s">
        <v>433</v>
      </c>
      <c r="O218" s="187" t="str">
        <f t="shared" si="8"/>
        <v>dezentral - 1 Raum 1 Zapfstelle</v>
      </c>
      <c r="P218" s="187"/>
      <c r="Q218" s="187"/>
      <c r="R218" s="187"/>
      <c r="S218" s="187"/>
      <c r="T218" s="187"/>
      <c r="U218" s="187"/>
      <c r="V218" s="206" t="s">
        <v>433</v>
      </c>
    </row>
    <row r="219" spans="1:25" s="149" customFormat="1" hidden="1">
      <c r="A219" s="149" t="str">
        <f t="shared" si="6"/>
        <v>TW_d#6</v>
      </c>
      <c r="B219" s="211" t="str">
        <f t="shared" si="7"/>
        <v>TW_d</v>
      </c>
      <c r="C219" s="149">
        <v>6</v>
      </c>
      <c r="D219" s="207" t="s">
        <v>434</v>
      </c>
      <c r="O219" s="187" t="str">
        <f t="shared" si="8"/>
        <v>dezentral - 1 Raum mehrere Zapfstellen</v>
      </c>
      <c r="P219" s="187"/>
      <c r="Q219" s="187"/>
      <c r="R219" s="187"/>
      <c r="S219" s="187"/>
      <c r="T219" s="187"/>
      <c r="U219" s="187"/>
      <c r="V219" s="206" t="s">
        <v>434</v>
      </c>
    </row>
    <row r="220" spans="1:25" s="149" customFormat="1" hidden="1">
      <c r="A220" s="149" t="str">
        <f t="shared" si="6"/>
        <v>TW_d#7</v>
      </c>
      <c r="B220" s="211" t="str">
        <f t="shared" si="7"/>
        <v>TW_d</v>
      </c>
      <c r="C220" s="149">
        <v>7</v>
      </c>
      <c r="D220" s="207" t="s">
        <v>435</v>
      </c>
      <c r="O220" s="187" t="str">
        <f t="shared" si="8"/>
        <v>dezentral - 2 Räume gemeinsame Installationswand</v>
      </c>
      <c r="P220" s="187"/>
      <c r="Q220" s="187"/>
      <c r="R220" s="187"/>
      <c r="S220" s="187"/>
      <c r="T220" s="187"/>
      <c r="U220" s="187"/>
      <c r="V220" s="206" t="s">
        <v>435</v>
      </c>
    </row>
    <row r="221" spans="1:25" s="149" customFormat="1" hidden="1">
      <c r="A221" s="149" t="str">
        <f t="shared" si="6"/>
        <v>TW_d#8</v>
      </c>
      <c r="B221" s="212" t="str">
        <f t="shared" si="7"/>
        <v>TW_d</v>
      </c>
      <c r="C221" s="149">
        <v>8</v>
      </c>
      <c r="D221" s="207" t="s">
        <v>436</v>
      </c>
      <c r="O221" s="187" t="str">
        <f t="shared" si="8"/>
        <v>wohnungszentral</v>
      </c>
      <c r="P221" s="187"/>
      <c r="Q221" s="187"/>
      <c r="R221" s="187"/>
      <c r="S221" s="187"/>
      <c r="T221" s="187"/>
      <c r="U221" s="187"/>
      <c r="V221" s="206" t="s">
        <v>436</v>
      </c>
    </row>
    <row r="222" spans="1:25" s="149" customFormat="1" hidden="1">
      <c r="A222" s="149" t="str">
        <f t="shared" si="6"/>
        <v>TW_s#0</v>
      </c>
      <c r="B222" s="210" t="s">
        <v>418</v>
      </c>
      <c r="C222" s="149">
        <v>0</v>
      </c>
      <c r="D222" s="205" t="s">
        <v>635</v>
      </c>
      <c r="O222" s="187" t="str">
        <f t="shared" si="8"/>
        <v>- keine Speicherung</v>
      </c>
      <c r="P222" s="187"/>
      <c r="Q222" s="187"/>
      <c r="R222" s="187"/>
      <c r="S222" s="187"/>
      <c r="T222" s="187"/>
      <c r="U222" s="187"/>
      <c r="V222" s="206" t="s">
        <v>428</v>
      </c>
    </row>
    <row r="223" spans="1:25" s="149" customFormat="1" hidden="1">
      <c r="A223" s="149" t="str">
        <f t="shared" si="6"/>
        <v>TW_s#1</v>
      </c>
      <c r="B223" s="211" t="str">
        <f t="shared" ref="B223:B234" si="9">B222</f>
        <v>TW_s</v>
      </c>
      <c r="C223" s="149">
        <v>1</v>
      </c>
      <c r="D223" s="149" t="s">
        <v>623</v>
      </c>
      <c r="O223" s="187" t="str">
        <f t="shared" si="8"/>
        <v>indirekt beheizter Speicher, Aufstellung innerhalb thermischer Hülle</v>
      </c>
      <c r="P223" s="187"/>
      <c r="Q223" s="187"/>
      <c r="R223" s="187"/>
      <c r="S223" s="187"/>
      <c r="T223" s="187"/>
      <c r="U223" s="187"/>
      <c r="V223" s="206" t="s">
        <v>437</v>
      </c>
    </row>
    <row r="224" spans="1:25" s="149" customFormat="1" hidden="1">
      <c r="A224" s="149" t="str">
        <f t="shared" si="6"/>
        <v>TW_s#2</v>
      </c>
      <c r="B224" s="211" t="str">
        <f t="shared" si="9"/>
        <v>TW_s</v>
      </c>
      <c r="C224" s="149">
        <v>2</v>
      </c>
      <c r="D224" s="149" t="s">
        <v>624</v>
      </c>
      <c r="O224" s="187" t="str">
        <f t="shared" si="8"/>
        <v>Elektro-Nachtspeicher, Aufstellung innerhalb thermischer Hülle</v>
      </c>
      <c r="P224" s="187"/>
      <c r="Q224" s="187"/>
      <c r="R224" s="187"/>
      <c r="S224" s="187"/>
      <c r="T224" s="187"/>
      <c r="U224" s="187"/>
      <c r="V224" s="206" t="s">
        <v>438</v>
      </c>
    </row>
    <row r="225" spans="1:22" s="149" customFormat="1" hidden="1">
      <c r="A225" s="149" t="str">
        <f t="shared" si="6"/>
        <v>TW_s#3</v>
      </c>
      <c r="B225" s="211" t="str">
        <f t="shared" si="9"/>
        <v>TW_s</v>
      </c>
      <c r="C225" s="149">
        <v>3</v>
      </c>
      <c r="D225" s="149" t="s">
        <v>625</v>
      </c>
      <c r="O225" s="187" t="str">
        <f t="shared" si="8"/>
        <v>Elektro-Tagesspeicher, Aufstellung innerhalb thermischer Hülle</v>
      </c>
      <c r="P225" s="187"/>
      <c r="Q225" s="187"/>
      <c r="R225" s="187"/>
      <c r="S225" s="187"/>
      <c r="T225" s="187"/>
      <c r="U225" s="187"/>
      <c r="V225" s="206" t="s">
        <v>439</v>
      </c>
    </row>
    <row r="226" spans="1:22" s="149" customFormat="1" hidden="1">
      <c r="A226" s="149" t="str">
        <f t="shared" si="6"/>
        <v>TW_s#4</v>
      </c>
      <c r="B226" s="211" t="str">
        <f t="shared" si="9"/>
        <v>TW_s</v>
      </c>
      <c r="C226" s="149">
        <v>4</v>
      </c>
      <c r="D226" s="149" t="s">
        <v>626</v>
      </c>
      <c r="O226" s="187" t="str">
        <f t="shared" si="8"/>
        <v>Elektro-Kleinspeicher, Aufstellung innerhalb thermischer Hülle</v>
      </c>
      <c r="P226" s="187"/>
      <c r="Q226" s="187"/>
      <c r="R226" s="187"/>
      <c r="S226" s="187"/>
      <c r="T226" s="187"/>
      <c r="U226" s="187"/>
      <c r="V226" s="206" t="s">
        <v>440</v>
      </c>
    </row>
    <row r="227" spans="1:22" s="149" customFormat="1" hidden="1">
      <c r="A227" s="149" t="str">
        <f t="shared" si="6"/>
        <v>TW_s#5</v>
      </c>
      <c r="B227" s="211" t="str">
        <f t="shared" si="9"/>
        <v>TW_s</v>
      </c>
      <c r="C227" s="149">
        <v>5</v>
      </c>
      <c r="D227" s="149" t="s">
        <v>617</v>
      </c>
      <c r="O227" s="187" t="str">
        <f t="shared" si="8"/>
        <v>bivalenter Solarspeicher, Aufstellung innerhalb thermischer Hülle</v>
      </c>
      <c r="P227" s="187"/>
      <c r="Q227" s="187"/>
      <c r="R227" s="187"/>
      <c r="S227" s="187"/>
      <c r="T227" s="187"/>
      <c r="U227" s="187"/>
      <c r="V227" s="206" t="s">
        <v>441</v>
      </c>
    </row>
    <row r="228" spans="1:22" s="149" customFormat="1" hidden="1">
      <c r="A228" s="149" t="str">
        <f t="shared" si="6"/>
        <v>TW_s#6</v>
      </c>
      <c r="B228" s="211" t="str">
        <f t="shared" si="9"/>
        <v>TW_s</v>
      </c>
      <c r="C228" s="149">
        <v>6</v>
      </c>
      <c r="D228" s="149" t="s">
        <v>627</v>
      </c>
      <c r="O228" s="187" t="str">
        <f t="shared" si="8"/>
        <v>gasbeheizter Speicher, Aufstellung innerhalb thermischer Hülle</v>
      </c>
      <c r="P228" s="187"/>
      <c r="Q228" s="187"/>
      <c r="R228" s="187"/>
      <c r="S228" s="187"/>
      <c r="T228" s="187"/>
      <c r="U228" s="187"/>
      <c r="V228" s="206" t="s">
        <v>442</v>
      </c>
    </row>
    <row r="229" spans="1:22" s="149" customFormat="1" hidden="1">
      <c r="A229" s="149" t="str">
        <f t="shared" si="6"/>
        <v>TW_s#7</v>
      </c>
      <c r="B229" s="211" t="str">
        <f t="shared" si="9"/>
        <v>TW_s</v>
      </c>
      <c r="C229" s="149">
        <v>7</v>
      </c>
      <c r="D229" s="149" t="s">
        <v>628</v>
      </c>
      <c r="O229" s="187" t="str">
        <f t="shared" si="8"/>
        <v>indirekt beheizter Speicher, Aufstellung außerhalb thermischer Hülle</v>
      </c>
      <c r="P229" s="187"/>
      <c r="Q229" s="187"/>
      <c r="R229" s="187"/>
      <c r="S229" s="187"/>
      <c r="T229" s="187"/>
      <c r="U229" s="187"/>
      <c r="V229" s="206" t="s">
        <v>443</v>
      </c>
    </row>
    <row r="230" spans="1:22" s="149" customFormat="1" hidden="1">
      <c r="A230" s="149" t="str">
        <f t="shared" si="6"/>
        <v>TW_s#8</v>
      </c>
      <c r="B230" s="211" t="str">
        <f t="shared" si="9"/>
        <v>TW_s</v>
      </c>
      <c r="C230" s="149">
        <v>8</v>
      </c>
      <c r="D230" s="149" t="s">
        <v>629</v>
      </c>
      <c r="O230" s="187" t="str">
        <f t="shared" si="8"/>
        <v>Elektro-Nachtspeicher, Aufstellung außerhalb thermischer Hülle</v>
      </c>
      <c r="P230" s="187"/>
      <c r="Q230" s="187"/>
      <c r="R230" s="187"/>
      <c r="S230" s="187"/>
      <c r="T230" s="187"/>
      <c r="U230" s="187"/>
      <c r="V230" s="206" t="s">
        <v>444</v>
      </c>
    </row>
    <row r="231" spans="1:22" s="149" customFormat="1" hidden="1">
      <c r="A231" s="149" t="str">
        <f t="shared" si="6"/>
        <v>TW_s#9</v>
      </c>
      <c r="B231" s="211" t="str">
        <f t="shared" si="9"/>
        <v>TW_s</v>
      </c>
      <c r="C231" s="149">
        <v>9</v>
      </c>
      <c r="D231" s="149" t="s">
        <v>630</v>
      </c>
      <c r="O231" s="187" t="str">
        <f t="shared" si="8"/>
        <v>Elektro-Tagesspeicher, Aufstellung außerhalb thermischer Hülle</v>
      </c>
      <c r="P231" s="187"/>
      <c r="Q231" s="187"/>
      <c r="R231" s="187"/>
      <c r="S231" s="187"/>
      <c r="T231" s="187"/>
      <c r="U231" s="187"/>
      <c r="V231" s="206" t="s">
        <v>445</v>
      </c>
    </row>
    <row r="232" spans="1:22" s="149" customFormat="1" hidden="1">
      <c r="A232" s="149" t="str">
        <f t="shared" si="6"/>
        <v>TW_s#10</v>
      </c>
      <c r="B232" s="211" t="str">
        <f t="shared" si="9"/>
        <v>TW_s</v>
      </c>
      <c r="C232" s="149">
        <v>10</v>
      </c>
      <c r="D232" s="149" t="s">
        <v>631</v>
      </c>
      <c r="O232" s="187" t="str">
        <f t="shared" si="8"/>
        <v>Elektro-Kleinspeicher, Aufstellung außerhalb thermischer Hülle</v>
      </c>
      <c r="P232" s="187"/>
      <c r="Q232" s="187"/>
      <c r="R232" s="187"/>
      <c r="S232" s="187"/>
      <c r="T232" s="187"/>
      <c r="U232" s="187"/>
      <c r="V232" s="206" t="s">
        <v>446</v>
      </c>
    </row>
    <row r="233" spans="1:22" s="149" customFormat="1" hidden="1">
      <c r="A233" s="149" t="str">
        <f t="shared" si="6"/>
        <v>TW_s#11</v>
      </c>
      <c r="B233" s="211" t="str">
        <f t="shared" si="9"/>
        <v>TW_s</v>
      </c>
      <c r="C233" s="149">
        <v>11</v>
      </c>
      <c r="D233" s="149" t="s">
        <v>632</v>
      </c>
      <c r="O233" s="187" t="str">
        <f t="shared" si="8"/>
        <v>bivalenter Solarspeicher, Aufstellung außerhalb thermischer Hülle</v>
      </c>
      <c r="P233" s="187"/>
      <c r="Q233" s="187"/>
      <c r="R233" s="187"/>
      <c r="S233" s="187"/>
      <c r="T233" s="187"/>
      <c r="U233" s="187"/>
      <c r="V233" s="206" t="s">
        <v>447</v>
      </c>
    </row>
    <row r="234" spans="1:22" s="149" customFormat="1" hidden="1">
      <c r="A234" s="149" t="str">
        <f t="shared" si="6"/>
        <v>TW_s#12</v>
      </c>
      <c r="B234" s="212" t="str">
        <f t="shared" si="9"/>
        <v>TW_s</v>
      </c>
      <c r="C234" s="149">
        <v>12</v>
      </c>
      <c r="D234" s="149" t="s">
        <v>633</v>
      </c>
      <c r="O234" s="187" t="str">
        <f t="shared" si="8"/>
        <v>gasbeheizter Speicher, Aufstellung außerhalb thermischer Hülle</v>
      </c>
      <c r="P234" s="187"/>
      <c r="Q234" s="187"/>
      <c r="R234" s="187"/>
      <c r="S234" s="187"/>
      <c r="T234" s="187"/>
      <c r="U234" s="187"/>
      <c r="V234" s="206" t="s">
        <v>448</v>
      </c>
    </row>
    <row r="235" spans="1:22" s="149" customFormat="1" hidden="1">
      <c r="A235" s="149" t="str">
        <f t="shared" si="6"/>
        <v>TW_g#0</v>
      </c>
      <c r="B235" s="210" t="s">
        <v>419</v>
      </c>
      <c r="C235" s="149">
        <v>0</v>
      </c>
      <c r="D235" s="205" t="s">
        <v>636</v>
      </c>
      <c r="O235" s="187" t="str">
        <f t="shared" si="8"/>
        <v>- keine Erzeugung</v>
      </c>
      <c r="P235" s="187"/>
      <c r="Q235" s="187"/>
      <c r="R235" s="187"/>
      <c r="S235" s="187"/>
      <c r="T235" s="187"/>
      <c r="U235" s="187"/>
      <c r="V235" s="206" t="s">
        <v>428</v>
      </c>
    </row>
    <row r="236" spans="1:22" s="149" customFormat="1" hidden="1">
      <c r="A236" s="149" t="str">
        <f t="shared" si="6"/>
        <v>TW_g#1</v>
      </c>
      <c r="B236" s="211" t="str">
        <f t="shared" ref="B236:B259" si="10">B235</f>
        <v>TW_g</v>
      </c>
      <c r="C236" s="149">
        <v>1</v>
      </c>
      <c r="D236" s="207" t="s">
        <v>449</v>
      </c>
      <c r="O236" s="187" t="str">
        <f t="shared" si="8"/>
        <v>Konstanttemperaturkessel</v>
      </c>
      <c r="P236" s="187"/>
      <c r="Q236" s="187"/>
      <c r="R236" s="187"/>
      <c r="S236" s="187"/>
      <c r="T236" s="187"/>
      <c r="U236" s="187"/>
      <c r="V236" s="206" t="s">
        <v>449</v>
      </c>
    </row>
    <row r="237" spans="1:22" s="149" customFormat="1" hidden="1">
      <c r="A237" s="149" t="str">
        <f t="shared" si="6"/>
        <v>TW_g#2</v>
      </c>
      <c r="B237" s="211" t="str">
        <f t="shared" si="10"/>
        <v>TW_g</v>
      </c>
      <c r="C237" s="149">
        <v>2</v>
      </c>
      <c r="D237" s="207" t="s">
        <v>450</v>
      </c>
      <c r="O237" s="187" t="str">
        <f t="shared" si="8"/>
        <v>Niedertemperaturkessel</v>
      </c>
      <c r="P237" s="187"/>
      <c r="Q237" s="187"/>
      <c r="R237" s="187"/>
      <c r="S237" s="187"/>
      <c r="T237" s="187"/>
      <c r="U237" s="187"/>
      <c r="V237" s="206" t="s">
        <v>450</v>
      </c>
    </row>
    <row r="238" spans="1:22" s="149" customFormat="1" hidden="1">
      <c r="A238" s="149" t="str">
        <f t="shared" si="6"/>
        <v>TW_g#3</v>
      </c>
      <c r="B238" s="211" t="str">
        <f t="shared" si="10"/>
        <v>TW_g</v>
      </c>
      <c r="C238" s="149">
        <v>3</v>
      </c>
      <c r="D238" s="207" t="s">
        <v>451</v>
      </c>
      <c r="O238" s="187" t="str">
        <f t="shared" si="8"/>
        <v>Brennwertkessel</v>
      </c>
      <c r="P238" s="187"/>
      <c r="Q238" s="187"/>
      <c r="R238" s="187"/>
      <c r="S238" s="187"/>
      <c r="T238" s="187"/>
      <c r="U238" s="187"/>
      <c r="V238" s="206" t="s">
        <v>451</v>
      </c>
    </row>
    <row r="239" spans="1:22" s="149" customFormat="1" hidden="1">
      <c r="A239" s="149" t="str">
        <f t="shared" si="6"/>
        <v>TW_g#33</v>
      </c>
      <c r="B239" s="211" t="str">
        <f t="shared" si="10"/>
        <v>TW_g</v>
      </c>
      <c r="C239" s="149">
        <v>33</v>
      </c>
      <c r="D239" s="207" t="s">
        <v>452</v>
      </c>
      <c r="O239" s="511" t="s">
        <v>2977</v>
      </c>
      <c r="P239" s="187"/>
      <c r="Q239" s="187"/>
      <c r="R239" s="187"/>
      <c r="S239" s="187"/>
      <c r="T239" s="187"/>
      <c r="U239" s="187"/>
      <c r="V239" s="206" t="s">
        <v>452</v>
      </c>
    </row>
    <row r="240" spans="1:22" s="149" customFormat="1" hidden="1">
      <c r="A240" s="149" t="str">
        <f t="shared" si="6"/>
        <v>TW_g#4</v>
      </c>
      <c r="B240" s="211" t="str">
        <f t="shared" si="10"/>
        <v>TW_g</v>
      </c>
      <c r="C240" s="149">
        <v>4</v>
      </c>
      <c r="D240" s="207" t="s">
        <v>453</v>
      </c>
      <c r="O240" s="187" t="str">
        <f t="shared" si="8"/>
        <v>Kombikessel NT - DL</v>
      </c>
      <c r="P240" s="187"/>
      <c r="Q240" s="187"/>
      <c r="R240" s="187"/>
      <c r="S240" s="187"/>
      <c r="T240" s="187"/>
      <c r="U240" s="187"/>
      <c r="V240" s="206" t="s">
        <v>453</v>
      </c>
    </row>
    <row r="241" spans="1:22" s="149" customFormat="1" hidden="1">
      <c r="A241" s="149" t="str">
        <f t="shared" si="6"/>
        <v>TW_g#44</v>
      </c>
      <c r="B241" s="211" t="str">
        <f t="shared" si="10"/>
        <v>TW_g</v>
      </c>
      <c r="C241" s="149">
        <v>44</v>
      </c>
      <c r="D241" s="207" t="s">
        <v>454</v>
      </c>
      <c r="O241" s="187" t="str">
        <f t="shared" si="8"/>
        <v>Kombikessel NT - KSp</v>
      </c>
      <c r="P241" s="187"/>
      <c r="Q241" s="187"/>
      <c r="R241" s="187"/>
      <c r="S241" s="187"/>
      <c r="T241" s="187"/>
      <c r="U241" s="187"/>
      <c r="V241" s="206" t="s">
        <v>454</v>
      </c>
    </row>
    <row r="242" spans="1:22" s="149" customFormat="1" hidden="1">
      <c r="A242" s="149" t="str">
        <f t="shared" si="6"/>
        <v>TW_g#5</v>
      </c>
      <c r="B242" s="211" t="str">
        <f t="shared" si="10"/>
        <v>TW_g</v>
      </c>
      <c r="C242" s="149">
        <v>5</v>
      </c>
      <c r="D242" s="207" t="s">
        <v>455</v>
      </c>
      <c r="O242" s="187" t="str">
        <f t="shared" si="8"/>
        <v>Kombikessel Brennwert - DL</v>
      </c>
      <c r="P242" s="187"/>
      <c r="Q242" s="187"/>
      <c r="R242" s="187"/>
      <c r="S242" s="187"/>
      <c r="T242" s="187"/>
      <c r="U242" s="187"/>
      <c r="V242" s="206" t="s">
        <v>455</v>
      </c>
    </row>
    <row r="243" spans="1:22" s="149" customFormat="1" hidden="1">
      <c r="A243" s="149" t="str">
        <f t="shared" si="6"/>
        <v>TW_g#55</v>
      </c>
      <c r="B243" s="211" t="str">
        <f t="shared" si="10"/>
        <v>TW_g</v>
      </c>
      <c r="C243" s="149">
        <v>55</v>
      </c>
      <c r="D243" s="207" t="s">
        <v>456</v>
      </c>
      <c r="O243" s="187" t="str">
        <f t="shared" si="8"/>
        <v>Kombikessel Brennwert - KSp</v>
      </c>
      <c r="P243" s="187"/>
      <c r="Q243" s="187"/>
      <c r="R243" s="187"/>
      <c r="S243" s="187"/>
      <c r="T243" s="187"/>
      <c r="U243" s="187"/>
      <c r="V243" s="206" t="s">
        <v>456</v>
      </c>
    </row>
    <row r="244" spans="1:22" s="149" customFormat="1" hidden="1">
      <c r="A244" s="149" t="str">
        <f t="shared" si="6"/>
        <v>TW_g#6</v>
      </c>
      <c r="B244" s="211" t="str">
        <f t="shared" si="10"/>
        <v>TW_g</v>
      </c>
      <c r="C244" s="149">
        <v>6</v>
      </c>
      <c r="D244" s="207" t="s">
        <v>457</v>
      </c>
      <c r="O244" s="187" t="str">
        <f t="shared" si="8"/>
        <v>Gas-Speicherwassererwärmer</v>
      </c>
      <c r="P244" s="187"/>
      <c r="Q244" s="187"/>
      <c r="R244" s="187"/>
      <c r="S244" s="187"/>
      <c r="T244" s="187"/>
      <c r="U244" s="187"/>
      <c r="V244" s="206" t="s">
        <v>457</v>
      </c>
    </row>
    <row r="245" spans="1:22" s="149" customFormat="1" hidden="1">
      <c r="A245" s="149" t="str">
        <f t="shared" ref="A245:A279" si="11">B245&amp;"#"&amp;C245</f>
        <v>TW_g#7</v>
      </c>
      <c r="B245" s="211" t="str">
        <f t="shared" si="10"/>
        <v>TW_g</v>
      </c>
      <c r="C245" s="149">
        <v>7</v>
      </c>
      <c r="D245" s="207" t="s">
        <v>458</v>
      </c>
      <c r="O245" s="187" t="str">
        <f t="shared" si="8"/>
        <v>Elektro-Heizstab</v>
      </c>
      <c r="P245" s="187"/>
      <c r="Q245" s="187"/>
      <c r="R245" s="187"/>
      <c r="S245" s="187"/>
      <c r="T245" s="187"/>
      <c r="U245" s="187"/>
      <c r="V245" s="206" t="s">
        <v>458</v>
      </c>
    </row>
    <row r="246" spans="1:22" s="149" customFormat="1" hidden="1">
      <c r="A246" s="149" t="str">
        <f t="shared" si="11"/>
        <v>TW_g#8</v>
      </c>
      <c r="B246" s="211" t="str">
        <f t="shared" si="10"/>
        <v>TW_g</v>
      </c>
      <c r="C246" s="149">
        <v>8</v>
      </c>
      <c r="D246" s="207" t="s">
        <v>459</v>
      </c>
      <c r="O246" s="187" t="str">
        <f t="shared" si="8"/>
        <v>E-Durchlauferhitzer, Speicher</v>
      </c>
      <c r="P246" s="187"/>
      <c r="Q246" s="187"/>
      <c r="R246" s="187"/>
      <c r="S246" s="187"/>
      <c r="T246" s="187"/>
      <c r="U246" s="187"/>
      <c r="V246" s="206" t="s">
        <v>459</v>
      </c>
    </row>
    <row r="247" spans="1:22" s="149" customFormat="1" hidden="1">
      <c r="A247" s="149" t="str">
        <f t="shared" si="11"/>
        <v>TW_g#10</v>
      </c>
      <c r="B247" s="211" t="str">
        <f t="shared" si="10"/>
        <v>TW_g</v>
      </c>
      <c r="C247" s="149">
        <v>10</v>
      </c>
      <c r="D247" s="207" t="s">
        <v>460</v>
      </c>
      <c r="O247" s="187" t="str">
        <f t="shared" si="8"/>
        <v>Nah-/Fernwärme</v>
      </c>
      <c r="P247" s="187"/>
      <c r="Q247" s="187"/>
      <c r="R247" s="187"/>
      <c r="S247" s="187"/>
      <c r="T247" s="187"/>
      <c r="U247" s="187"/>
      <c r="V247" s="206" t="s">
        <v>460</v>
      </c>
    </row>
    <row r="248" spans="1:22" s="149" customFormat="1" hidden="1">
      <c r="A248" s="149" t="str">
        <f t="shared" si="11"/>
        <v>TW_g#91</v>
      </c>
      <c r="B248" s="211" t="str">
        <f t="shared" si="10"/>
        <v>TW_g</v>
      </c>
      <c r="C248" s="149">
        <v>91</v>
      </c>
      <c r="D248" s="207" t="s">
        <v>461</v>
      </c>
      <c r="O248" s="187" t="s">
        <v>1149</v>
      </c>
      <c r="P248" s="192"/>
      <c r="Q248" s="187"/>
      <c r="R248" s="187"/>
      <c r="S248" s="187"/>
      <c r="T248" s="187"/>
      <c r="U248" s="187"/>
      <c r="V248" s="206" t="s">
        <v>461</v>
      </c>
    </row>
    <row r="249" spans="1:22" s="149" customFormat="1" hidden="1">
      <c r="A249" s="149" t="str">
        <f t="shared" si="11"/>
        <v>TW_g#92</v>
      </c>
      <c r="B249" s="211" t="str">
        <f t="shared" si="10"/>
        <v>TW_g</v>
      </c>
      <c r="C249" s="149">
        <v>92</v>
      </c>
      <c r="D249" s="207" t="s">
        <v>462</v>
      </c>
      <c r="O249" s="187" t="s">
        <v>1149</v>
      </c>
      <c r="P249" s="192"/>
      <c r="Q249" s="187"/>
      <c r="R249" s="187"/>
      <c r="S249" s="187"/>
      <c r="T249" s="187"/>
      <c r="U249" s="187"/>
      <c r="V249" s="206" t="s">
        <v>462</v>
      </c>
    </row>
    <row r="250" spans="1:22" s="149" customFormat="1" hidden="1">
      <c r="A250" s="149" t="str">
        <f t="shared" si="11"/>
        <v>TW_g#93</v>
      </c>
      <c r="B250" s="211" t="str">
        <f t="shared" si="10"/>
        <v>TW_g</v>
      </c>
      <c r="C250" s="149">
        <v>93</v>
      </c>
      <c r="D250" s="207" t="s">
        <v>463</v>
      </c>
      <c r="O250" s="187" t="s">
        <v>1149</v>
      </c>
      <c r="P250" s="192"/>
      <c r="Q250" s="187"/>
      <c r="R250" s="187"/>
      <c r="S250" s="187"/>
      <c r="T250" s="187"/>
      <c r="U250" s="187"/>
      <c r="V250" s="206" t="s">
        <v>463</v>
      </c>
    </row>
    <row r="251" spans="1:22" s="149" customFormat="1" hidden="1">
      <c r="A251" s="149" t="str">
        <f t="shared" si="11"/>
        <v>TW_g#94</v>
      </c>
      <c r="B251" s="211" t="str">
        <f t="shared" si="10"/>
        <v>TW_g</v>
      </c>
      <c r="C251" s="149">
        <v>94</v>
      </c>
      <c r="D251" s="207" t="s">
        <v>464</v>
      </c>
      <c r="O251" s="187" t="s">
        <v>1149</v>
      </c>
      <c r="P251" s="192"/>
      <c r="Q251" s="187"/>
      <c r="R251" s="187"/>
      <c r="S251" s="187"/>
      <c r="T251" s="187"/>
      <c r="U251" s="187"/>
      <c r="V251" s="206" t="s">
        <v>464</v>
      </c>
    </row>
    <row r="252" spans="1:22" s="149" customFormat="1" hidden="1">
      <c r="A252" s="149" t="str">
        <f t="shared" si="11"/>
        <v>TW_g#95</v>
      </c>
      <c r="B252" s="211" t="str">
        <f t="shared" si="10"/>
        <v>TW_g</v>
      </c>
      <c r="C252" s="149">
        <v>95</v>
      </c>
      <c r="D252" s="207" t="s">
        <v>465</v>
      </c>
      <c r="O252" s="187" t="s">
        <v>1149</v>
      </c>
      <c r="P252" s="187"/>
      <c r="Q252" s="187"/>
      <c r="R252" s="187"/>
      <c r="S252" s="187"/>
      <c r="T252" s="187"/>
      <c r="U252" s="187"/>
      <c r="V252" s="206" t="s">
        <v>465</v>
      </c>
    </row>
    <row r="253" spans="1:22" s="149" customFormat="1" hidden="1">
      <c r="A253" s="149" t="str">
        <f t="shared" si="11"/>
        <v>TW_g#96</v>
      </c>
      <c r="B253" s="211" t="str">
        <f t="shared" si="10"/>
        <v>TW_g</v>
      </c>
      <c r="C253" s="149">
        <v>96</v>
      </c>
      <c r="D253" s="207" t="s">
        <v>466</v>
      </c>
      <c r="O253" s="187" t="s">
        <v>1149</v>
      </c>
      <c r="P253" s="187"/>
      <c r="Q253" s="187"/>
      <c r="R253" s="187"/>
      <c r="S253" s="187"/>
      <c r="T253" s="187"/>
      <c r="U253" s="187"/>
      <c r="V253" s="206" t="s">
        <v>466</v>
      </c>
    </row>
    <row r="254" spans="1:22" s="149" customFormat="1" hidden="1">
      <c r="A254" s="149" t="str">
        <f t="shared" si="11"/>
        <v>TW_g#97</v>
      </c>
      <c r="B254" s="211" t="str">
        <f t="shared" si="10"/>
        <v>TW_g</v>
      </c>
      <c r="C254" s="149">
        <v>97</v>
      </c>
      <c r="D254" s="207" t="s">
        <v>467</v>
      </c>
      <c r="O254" s="187" t="s">
        <v>1149</v>
      </c>
      <c r="P254" s="187"/>
      <c r="Q254" s="187"/>
      <c r="R254" s="187"/>
      <c r="S254" s="187"/>
      <c r="T254" s="187"/>
      <c r="U254" s="187"/>
      <c r="V254" s="206" t="s">
        <v>467</v>
      </c>
    </row>
    <row r="255" spans="1:22" s="149" customFormat="1" hidden="1">
      <c r="A255" s="149" t="str">
        <f t="shared" si="11"/>
        <v>TW_g#98</v>
      </c>
      <c r="B255" s="211" t="str">
        <f t="shared" si="10"/>
        <v>TW_g</v>
      </c>
      <c r="C255" s="149">
        <v>98</v>
      </c>
      <c r="D255" s="207" t="s">
        <v>468</v>
      </c>
      <c r="O255" s="187" t="s">
        <v>1149</v>
      </c>
      <c r="P255" s="187"/>
      <c r="Q255" s="187"/>
      <c r="R255" s="187"/>
      <c r="S255" s="187"/>
      <c r="T255" s="187"/>
      <c r="U255" s="187"/>
      <c r="V255" s="206" t="s">
        <v>468</v>
      </c>
    </row>
    <row r="256" spans="1:22" s="149" customFormat="1" hidden="1">
      <c r="A256" s="149" t="str">
        <f t="shared" si="11"/>
        <v>TW_g#111</v>
      </c>
      <c r="B256" s="211" t="str">
        <f t="shared" si="10"/>
        <v>TW_g</v>
      </c>
      <c r="C256" s="149">
        <v>111</v>
      </c>
      <c r="D256" s="207" t="s">
        <v>469</v>
      </c>
      <c r="O256" s="187" t="s">
        <v>1150</v>
      </c>
      <c r="P256" s="192"/>
      <c r="Q256" s="187"/>
      <c r="R256" s="187"/>
      <c r="S256" s="187"/>
      <c r="T256" s="187"/>
      <c r="U256" s="187"/>
      <c r="V256" s="206" t="s">
        <v>469</v>
      </c>
    </row>
    <row r="257" spans="1:27" s="149" customFormat="1" hidden="1">
      <c r="A257" s="149" t="str">
        <f t="shared" si="11"/>
        <v>TW_g#112</v>
      </c>
      <c r="B257" s="211" t="str">
        <f t="shared" si="10"/>
        <v>TW_g</v>
      </c>
      <c r="C257" s="149">
        <v>112</v>
      </c>
      <c r="D257" s="207" t="s">
        <v>470</v>
      </c>
      <c r="O257" s="187" t="s">
        <v>1150</v>
      </c>
      <c r="P257" s="192"/>
      <c r="Q257" s="187"/>
      <c r="R257" s="187"/>
      <c r="S257" s="187"/>
      <c r="T257" s="187"/>
      <c r="U257" s="187"/>
      <c r="V257" s="206" t="s">
        <v>470</v>
      </c>
    </row>
    <row r="258" spans="1:27" s="149" customFormat="1" hidden="1">
      <c r="A258" s="149" t="str">
        <f t="shared" si="11"/>
        <v>TW_g#113</v>
      </c>
      <c r="B258" s="211" t="str">
        <f t="shared" si="10"/>
        <v>TW_g</v>
      </c>
      <c r="C258" s="149">
        <v>113</v>
      </c>
      <c r="D258" s="207" t="s">
        <v>471</v>
      </c>
      <c r="O258" s="187" t="s">
        <v>1150</v>
      </c>
      <c r="P258" s="192"/>
      <c r="Q258" s="187"/>
      <c r="R258" s="187"/>
      <c r="S258" s="187"/>
      <c r="T258" s="187"/>
      <c r="U258" s="187"/>
      <c r="V258" s="206" t="s">
        <v>471</v>
      </c>
    </row>
    <row r="259" spans="1:27" s="149" customFormat="1" hidden="1">
      <c r="A259" s="149" t="str">
        <f t="shared" si="11"/>
        <v>TW_g#114</v>
      </c>
      <c r="B259" s="212" t="str">
        <f t="shared" si="10"/>
        <v>TW_g</v>
      </c>
      <c r="C259" s="149">
        <v>114</v>
      </c>
      <c r="D259" s="207" t="s">
        <v>472</v>
      </c>
      <c r="O259" s="187" t="s">
        <v>1150</v>
      </c>
      <c r="P259" s="192"/>
      <c r="Q259" s="187"/>
      <c r="R259" s="187"/>
      <c r="S259" s="187"/>
      <c r="T259" s="187"/>
      <c r="U259" s="187"/>
      <c r="V259" s="206" t="s">
        <v>472</v>
      </c>
    </row>
    <row r="260" spans="1:27" s="896" customFormat="1" hidden="1">
      <c r="A260" s="896" t="str">
        <f t="shared" si="11"/>
        <v>TW_g#200</v>
      </c>
      <c r="B260" s="900" t="str">
        <f>B258</f>
        <v>TW_g</v>
      </c>
      <c r="C260" s="896">
        <v>200</v>
      </c>
      <c r="D260" s="896" t="s">
        <v>2878</v>
      </c>
      <c r="O260" s="901" t="str">
        <f>D260</f>
        <v>Biomasse (Pellet)</v>
      </c>
      <c r="P260" s="901"/>
      <c r="Q260" s="901"/>
      <c r="R260" s="901"/>
      <c r="S260" s="901"/>
      <c r="T260" s="901"/>
      <c r="U260" s="901"/>
      <c r="V260" s="896" t="str">
        <f>D260</f>
        <v>Biomasse (Pellet)</v>
      </c>
    </row>
    <row r="261" spans="1:27" s="149" customFormat="1" hidden="1">
      <c r="A261" s="149" t="str">
        <f t="shared" si="11"/>
        <v>H_c#0</v>
      </c>
      <c r="B261" s="210" t="s">
        <v>420</v>
      </c>
      <c r="C261" s="149">
        <v>0</v>
      </c>
      <c r="D261" s="205" t="s">
        <v>646</v>
      </c>
      <c r="O261" s="187" t="str">
        <f t="shared" si="8"/>
        <v>- keine Übergabe</v>
      </c>
      <c r="P261" s="187"/>
      <c r="Q261" s="187"/>
      <c r="R261" s="187"/>
      <c r="S261" s="187"/>
      <c r="T261" s="187"/>
      <c r="U261" s="187"/>
      <c r="V261" s="206" t="s">
        <v>428</v>
      </c>
    </row>
    <row r="262" spans="1:27" s="149" customFormat="1" hidden="1">
      <c r="A262" s="149" t="str">
        <f t="shared" si="11"/>
        <v>H_c#1</v>
      </c>
      <c r="B262" s="211" t="str">
        <f>B261</f>
        <v>H_c</v>
      </c>
      <c r="C262" s="149">
        <v>1</v>
      </c>
      <c r="D262" s="149" t="s">
        <v>637</v>
      </c>
      <c r="O262" s="187" t="str">
        <f t="shared" si="8"/>
        <v>Radiatoren, Anordnung im Außenwandbereich, Thermostatventile, 1K</v>
      </c>
      <c r="P262" s="187"/>
      <c r="Q262" s="187"/>
      <c r="R262" s="187"/>
      <c r="S262" s="187"/>
      <c r="T262" s="187"/>
      <c r="U262" s="187"/>
      <c r="V262" s="206" t="s">
        <v>473</v>
      </c>
    </row>
    <row r="263" spans="1:27" s="149" customFormat="1" hidden="1">
      <c r="A263" s="149" t="str">
        <f t="shared" si="11"/>
        <v>H_c#2</v>
      </c>
      <c r="B263" s="211" t="str">
        <f>B262</f>
        <v>H_c</v>
      </c>
      <c r="C263" s="149">
        <v>2</v>
      </c>
      <c r="D263" s="149" t="s">
        <v>638</v>
      </c>
      <c r="O263" s="187" t="str">
        <f t="shared" si="8"/>
        <v>Radiatoren, Anordnung im Außenwandbereich, Thermostatventile, 2K</v>
      </c>
      <c r="P263" s="187"/>
      <c r="Q263" s="187"/>
      <c r="R263" s="187"/>
      <c r="S263" s="187"/>
      <c r="T263" s="187"/>
      <c r="U263" s="187"/>
      <c r="V263" s="206" t="s">
        <v>474</v>
      </c>
    </row>
    <row r="264" spans="1:27" s="149" customFormat="1" hidden="1">
      <c r="A264" s="149" t="str">
        <f t="shared" si="11"/>
        <v>H_c#3</v>
      </c>
      <c r="B264" s="211" t="str">
        <f>B263</f>
        <v>H_c</v>
      </c>
      <c r="C264" s="149">
        <v>3</v>
      </c>
      <c r="D264" s="207" t="s">
        <v>475</v>
      </c>
      <c r="O264" s="187" t="str">
        <f t="shared" si="8"/>
        <v>Elektroheizung Direkt, Anordnung Außenwandbereich</v>
      </c>
      <c r="P264" s="187"/>
      <c r="Q264" s="187"/>
      <c r="R264" s="187"/>
      <c r="S264" s="187"/>
      <c r="T264" s="187"/>
      <c r="U264" s="187"/>
      <c r="V264" s="206" t="s">
        <v>475</v>
      </c>
    </row>
    <row r="265" spans="1:27" s="149" customFormat="1" hidden="1">
      <c r="A265" s="149" t="str">
        <f t="shared" si="11"/>
        <v>H_c#4</v>
      </c>
      <c r="B265" s="211" t="str">
        <f>B264</f>
        <v>H_c</v>
      </c>
      <c r="C265" s="149">
        <v>4</v>
      </c>
      <c r="D265" s="207" t="s">
        <v>476</v>
      </c>
      <c r="O265" s="187" t="str">
        <f t="shared" si="8"/>
        <v>Elektroheizung Speicher, Anordnung Außenwandbereich</v>
      </c>
      <c r="P265" s="187"/>
      <c r="Q265" s="187"/>
      <c r="R265" s="187"/>
      <c r="S265" s="187"/>
      <c r="T265" s="187"/>
      <c r="U265" s="187"/>
      <c r="V265" s="206" t="s">
        <v>476</v>
      </c>
    </row>
    <row r="266" spans="1:27" s="149" customFormat="1" hidden="1">
      <c r="A266" s="149" t="str">
        <f>B266&amp;"#"&amp;C266</f>
        <v>H_c#5</v>
      </c>
      <c r="B266" s="211" t="str">
        <f>B262</f>
        <v>H_c</v>
      </c>
      <c r="C266" s="149">
        <v>5</v>
      </c>
      <c r="D266" s="207" t="s">
        <v>477</v>
      </c>
      <c r="O266" s="187" t="str">
        <f>D266</f>
        <v>Elektroheizung Speicher 80%, Direkt 20%</v>
      </c>
      <c r="P266" s="187"/>
      <c r="Q266" s="187"/>
      <c r="R266" s="187"/>
      <c r="S266" s="187"/>
      <c r="T266" s="187"/>
      <c r="U266" s="187"/>
      <c r="V266" s="206" t="s">
        <v>477</v>
      </c>
    </row>
    <row r="267" spans="1:27" s="149" customFormat="1" hidden="1">
      <c r="A267" s="149" t="str">
        <f>B267&amp;"#"&amp;C267</f>
        <v>H_c#11</v>
      </c>
      <c r="B267" s="211" t="str">
        <f>B263</f>
        <v>H_c</v>
      </c>
      <c r="C267" s="897">
        <v>11</v>
      </c>
      <c r="D267" s="897" t="s">
        <v>2868</v>
      </c>
      <c r="E267" s="896"/>
      <c r="F267" s="896"/>
      <c r="G267" s="896"/>
      <c r="H267" s="896"/>
      <c r="I267" s="896"/>
      <c r="J267" s="896"/>
      <c r="K267" s="896"/>
      <c r="L267" s="896"/>
      <c r="O267" s="187" t="str">
        <f>D267</f>
        <v>Fußbodenheizung, Einzelraumregelung 0,5 K</v>
      </c>
      <c r="P267" s="187"/>
      <c r="Q267" s="187"/>
      <c r="R267" s="187"/>
      <c r="S267" s="187"/>
      <c r="T267" s="187"/>
      <c r="U267" s="187"/>
      <c r="V267" s="206" t="s">
        <v>2867</v>
      </c>
      <c r="Z267" s="199" t="s">
        <v>2869</v>
      </c>
    </row>
    <row r="268" spans="1:27" s="149" customFormat="1" hidden="1">
      <c r="A268" s="149" t="str">
        <f t="shared" si="11"/>
        <v>H_c#12</v>
      </c>
      <c r="B268" s="212" t="str">
        <f>B265</f>
        <v>H_c</v>
      </c>
      <c r="C268" s="897">
        <v>12</v>
      </c>
      <c r="D268" s="897" t="s">
        <v>2867</v>
      </c>
      <c r="E268" s="896"/>
      <c r="F268" s="896"/>
      <c r="G268" s="896"/>
      <c r="H268" s="896"/>
      <c r="I268" s="896"/>
      <c r="J268" s="896"/>
      <c r="K268" s="896"/>
      <c r="L268" s="896"/>
      <c r="O268" s="187" t="str">
        <f>D268</f>
        <v>Fußbodenheizung, Einzelraumregelung 2 K</v>
      </c>
      <c r="P268" s="187"/>
      <c r="Q268" s="187"/>
      <c r="R268" s="187"/>
      <c r="S268" s="187"/>
      <c r="T268" s="187"/>
      <c r="U268" s="187"/>
      <c r="V268" s="206" t="s">
        <v>2868</v>
      </c>
      <c r="Z268" s="199" t="s">
        <v>2869</v>
      </c>
    </row>
    <row r="269" spans="1:27" s="149" customFormat="1" ht="13.8" hidden="1" thickBot="1">
      <c r="A269" s="149" t="str">
        <f t="shared" si="11"/>
        <v>H_d#0</v>
      </c>
      <c r="B269" s="210" t="s">
        <v>421</v>
      </c>
      <c r="C269" s="149">
        <v>0</v>
      </c>
      <c r="D269" s="207" t="s">
        <v>478</v>
      </c>
      <c r="O269" s="187" t="str">
        <f t="shared" si="8"/>
        <v>dezentral</v>
      </c>
      <c r="P269" s="187"/>
      <c r="Q269" s="187"/>
      <c r="R269" s="187"/>
      <c r="S269" s="187"/>
      <c r="T269" s="187"/>
      <c r="U269" s="187"/>
      <c r="V269" s="206" t="s">
        <v>478</v>
      </c>
    </row>
    <row r="270" spans="1:27" s="149" customFormat="1" hidden="1">
      <c r="A270" s="149" t="str">
        <f t="shared" si="11"/>
        <v>H_d#11</v>
      </c>
      <c r="B270" s="211" t="str">
        <f t="shared" ref="B270:B301" si="12">B269</f>
        <v>H_d</v>
      </c>
      <c r="C270" s="149">
        <v>11</v>
      </c>
      <c r="D270" s="149" t="s">
        <v>2870</v>
      </c>
      <c r="O270" s="192" t="s">
        <v>2376</v>
      </c>
      <c r="P270" s="187"/>
      <c r="Q270" s="187"/>
      <c r="R270" s="187"/>
      <c r="S270" s="187"/>
      <c r="T270" s="187"/>
      <c r="U270" s="187"/>
      <c r="V270" s="898" t="s">
        <v>479</v>
      </c>
      <c r="W270" s="898"/>
      <c r="X270" s="898"/>
      <c r="Y270" s="898"/>
      <c r="Z270" s="898"/>
      <c r="AA270" s="898"/>
    </row>
    <row r="271" spans="1:27" s="149" customFormat="1" hidden="1">
      <c r="A271" s="149" t="str">
        <f t="shared" si="11"/>
        <v>H_d#12</v>
      </c>
      <c r="B271" s="211" t="str">
        <f t="shared" si="12"/>
        <v>H_d</v>
      </c>
      <c r="C271" s="149">
        <v>12</v>
      </c>
      <c r="D271" s="149" t="s">
        <v>639</v>
      </c>
      <c r="O271" s="192" t="s">
        <v>2376</v>
      </c>
      <c r="P271" s="187"/>
      <c r="Q271" s="187"/>
      <c r="R271" s="187"/>
      <c r="S271" s="187"/>
      <c r="T271" s="187"/>
      <c r="U271" s="187"/>
      <c r="V271" s="206" t="s">
        <v>480</v>
      </c>
      <c r="W271" s="206"/>
      <c r="X271" s="206"/>
      <c r="Y271" s="206"/>
      <c r="Z271" s="206"/>
      <c r="AA271" s="206"/>
    </row>
    <row r="272" spans="1:27" s="149" customFormat="1" hidden="1">
      <c r="A272" s="149" t="str">
        <f t="shared" si="11"/>
        <v>H_d#13</v>
      </c>
      <c r="B272" s="211" t="str">
        <f t="shared" si="12"/>
        <v>H_d</v>
      </c>
      <c r="C272" s="149">
        <v>13</v>
      </c>
      <c r="D272" s="149" t="s">
        <v>639</v>
      </c>
      <c r="O272" s="192" t="s">
        <v>2376</v>
      </c>
      <c r="P272" s="187"/>
      <c r="Q272" s="187"/>
      <c r="R272" s="187"/>
      <c r="S272" s="187"/>
      <c r="T272" s="187"/>
      <c r="U272" s="187"/>
      <c r="V272" s="206" t="s">
        <v>481</v>
      </c>
      <c r="W272" s="206"/>
      <c r="X272" s="206"/>
      <c r="Y272" s="206"/>
      <c r="Z272" s="206"/>
      <c r="AA272" s="206"/>
    </row>
    <row r="273" spans="1:27" s="149" customFormat="1" ht="13.8" hidden="1" thickBot="1">
      <c r="A273" s="149" t="str">
        <f t="shared" si="11"/>
        <v>H_d#14</v>
      </c>
      <c r="B273" s="211" t="str">
        <f t="shared" si="12"/>
        <v>H_d</v>
      </c>
      <c r="C273" s="149">
        <v>14</v>
      </c>
      <c r="D273" s="149" t="s">
        <v>639</v>
      </c>
      <c r="O273" s="192" t="s">
        <v>2376</v>
      </c>
      <c r="P273" s="187"/>
      <c r="Q273" s="187"/>
      <c r="R273" s="187"/>
      <c r="S273" s="187"/>
      <c r="T273" s="187"/>
      <c r="U273" s="187"/>
      <c r="V273" s="899" t="s">
        <v>482</v>
      </c>
      <c r="W273" s="899"/>
      <c r="X273" s="899"/>
      <c r="Y273" s="899"/>
      <c r="Z273" s="899"/>
      <c r="AA273" s="899"/>
    </row>
    <row r="274" spans="1:27" s="149" customFormat="1" hidden="1">
      <c r="A274" s="149" t="str">
        <f t="shared" si="11"/>
        <v>H_d#15</v>
      </c>
      <c r="B274" s="211" t="str">
        <f t="shared" si="12"/>
        <v>H_d</v>
      </c>
      <c r="C274" s="149">
        <v>15</v>
      </c>
      <c r="D274" s="149" t="s">
        <v>640</v>
      </c>
      <c r="O274" s="192" t="s">
        <v>2377</v>
      </c>
      <c r="P274" s="187"/>
      <c r="Q274" s="187"/>
      <c r="R274" s="187"/>
      <c r="S274" s="187"/>
      <c r="T274" s="187"/>
      <c r="U274" s="187"/>
      <c r="V274" s="898" t="s">
        <v>483</v>
      </c>
      <c r="W274" s="898"/>
      <c r="X274" s="898"/>
      <c r="Y274" s="898"/>
      <c r="Z274" s="898"/>
      <c r="AA274" s="898"/>
    </row>
    <row r="275" spans="1:27" s="149" customFormat="1" hidden="1">
      <c r="A275" s="149" t="str">
        <f t="shared" si="11"/>
        <v>H_d#16</v>
      </c>
      <c r="B275" s="211" t="str">
        <f t="shared" si="12"/>
        <v>H_d</v>
      </c>
      <c r="C275" s="149">
        <v>16</v>
      </c>
      <c r="D275" s="149" t="s">
        <v>2871</v>
      </c>
      <c r="O275" s="192" t="s">
        <v>2377</v>
      </c>
      <c r="P275" s="187"/>
      <c r="Q275" s="187"/>
      <c r="R275" s="187"/>
      <c r="S275" s="187"/>
      <c r="T275" s="187"/>
      <c r="U275" s="187"/>
      <c r="V275" s="206" t="s">
        <v>484</v>
      </c>
      <c r="W275" s="206"/>
      <c r="X275" s="206"/>
      <c r="Y275" s="206"/>
      <c r="Z275" s="206"/>
      <c r="AA275" s="206"/>
    </row>
    <row r="276" spans="1:27" s="149" customFormat="1" hidden="1">
      <c r="A276" s="149" t="str">
        <f t="shared" si="11"/>
        <v>H_d#17</v>
      </c>
      <c r="B276" s="211" t="str">
        <f t="shared" si="12"/>
        <v>H_d</v>
      </c>
      <c r="C276" s="149">
        <v>17</v>
      </c>
      <c r="D276" s="149" t="s">
        <v>640</v>
      </c>
      <c r="O276" s="192" t="s">
        <v>2377</v>
      </c>
      <c r="P276" s="187"/>
      <c r="Q276" s="187"/>
      <c r="R276" s="187"/>
      <c r="S276" s="187"/>
      <c r="T276" s="187"/>
      <c r="U276" s="187"/>
      <c r="V276" s="206" t="s">
        <v>485</v>
      </c>
      <c r="W276" s="206"/>
      <c r="X276" s="206"/>
      <c r="Y276" s="206"/>
      <c r="Z276" s="206"/>
      <c r="AA276" s="206"/>
    </row>
    <row r="277" spans="1:27" s="149" customFormat="1" ht="13.8" hidden="1" thickBot="1">
      <c r="A277" s="149" t="str">
        <f t="shared" si="11"/>
        <v>H_d#18</v>
      </c>
      <c r="B277" s="211" t="str">
        <f t="shared" si="12"/>
        <v>H_d</v>
      </c>
      <c r="C277" s="149">
        <v>18</v>
      </c>
      <c r="D277" s="149" t="s">
        <v>640</v>
      </c>
      <c r="O277" s="192" t="s">
        <v>2377</v>
      </c>
      <c r="P277" s="187"/>
      <c r="Q277" s="187"/>
      <c r="R277" s="187"/>
      <c r="S277" s="187"/>
      <c r="T277" s="187"/>
      <c r="U277" s="187"/>
      <c r="V277" s="899" t="s">
        <v>486</v>
      </c>
      <c r="W277" s="899"/>
      <c r="X277" s="899"/>
      <c r="Y277" s="899"/>
      <c r="Z277" s="899"/>
      <c r="AA277" s="899"/>
    </row>
    <row r="278" spans="1:27" s="149" customFormat="1" hidden="1">
      <c r="A278" s="149" t="str">
        <f t="shared" si="11"/>
        <v>H_d#21</v>
      </c>
      <c r="B278" s="211" t="str">
        <f t="shared" si="12"/>
        <v>H_d</v>
      </c>
      <c r="C278" s="149">
        <v>21</v>
      </c>
      <c r="D278" s="149" t="s">
        <v>2872</v>
      </c>
      <c r="O278" s="192" t="s">
        <v>2378</v>
      </c>
      <c r="P278" s="187"/>
      <c r="Q278" s="187"/>
      <c r="R278" s="187"/>
      <c r="S278" s="187"/>
      <c r="T278" s="187"/>
      <c r="U278" s="187"/>
      <c r="V278" s="898" t="s">
        <v>487</v>
      </c>
      <c r="W278" s="898"/>
      <c r="X278" s="898"/>
      <c r="Y278" s="898"/>
      <c r="Z278" s="898"/>
      <c r="AA278" s="898"/>
    </row>
    <row r="279" spans="1:27" s="149" customFormat="1" hidden="1">
      <c r="A279" s="149" t="str">
        <f t="shared" si="11"/>
        <v>H_d#22</v>
      </c>
      <c r="B279" s="211" t="str">
        <f t="shared" si="12"/>
        <v>H_d</v>
      </c>
      <c r="C279" s="149">
        <v>22</v>
      </c>
      <c r="D279" s="149" t="s">
        <v>641</v>
      </c>
      <c r="O279" s="192" t="s">
        <v>2378</v>
      </c>
      <c r="P279" s="187"/>
      <c r="Q279" s="187"/>
      <c r="R279" s="187"/>
      <c r="S279" s="187"/>
      <c r="T279" s="187"/>
      <c r="U279" s="187"/>
      <c r="V279" s="206" t="s">
        <v>488</v>
      </c>
      <c r="W279" s="206"/>
      <c r="X279" s="206"/>
      <c r="Y279" s="206"/>
      <c r="Z279" s="206"/>
      <c r="AA279" s="206"/>
    </row>
    <row r="280" spans="1:27" s="149" customFormat="1" hidden="1">
      <c r="A280" s="149" t="str">
        <f t="shared" ref="A280:A311" si="13">B280&amp;"#"&amp;C280</f>
        <v>H_d#23</v>
      </c>
      <c r="B280" s="211" t="str">
        <f t="shared" si="12"/>
        <v>H_d</v>
      </c>
      <c r="C280" s="149">
        <v>23</v>
      </c>
      <c r="D280" s="149" t="s">
        <v>641</v>
      </c>
      <c r="O280" s="192" t="s">
        <v>2378</v>
      </c>
      <c r="P280" s="187"/>
      <c r="Q280" s="187"/>
      <c r="R280" s="187"/>
      <c r="S280" s="187"/>
      <c r="T280" s="187"/>
      <c r="U280" s="187"/>
      <c r="V280" s="206" t="s">
        <v>489</v>
      </c>
      <c r="W280" s="206"/>
      <c r="X280" s="206"/>
      <c r="Y280" s="206"/>
      <c r="Z280" s="206"/>
      <c r="AA280" s="206"/>
    </row>
    <row r="281" spans="1:27" s="149" customFormat="1" ht="13.8" hidden="1" thickBot="1">
      <c r="A281" s="149" t="str">
        <f t="shared" si="13"/>
        <v>H_d#24</v>
      </c>
      <c r="B281" s="211" t="str">
        <f t="shared" si="12"/>
        <v>H_d</v>
      </c>
      <c r="C281" s="149">
        <v>24</v>
      </c>
      <c r="D281" s="149" t="s">
        <v>641</v>
      </c>
      <c r="O281" s="192" t="s">
        <v>2378</v>
      </c>
      <c r="P281" s="187"/>
      <c r="Q281" s="187"/>
      <c r="R281" s="187"/>
      <c r="S281" s="187"/>
      <c r="T281" s="187"/>
      <c r="U281" s="187"/>
      <c r="V281" s="899" t="s">
        <v>490</v>
      </c>
      <c r="W281" s="899"/>
      <c r="X281" s="899"/>
      <c r="Y281" s="899"/>
      <c r="Z281" s="899"/>
      <c r="AA281" s="899"/>
    </row>
    <row r="282" spans="1:27" s="149" customFormat="1" hidden="1">
      <c r="A282" s="149" t="str">
        <f t="shared" si="13"/>
        <v>H_d#25</v>
      </c>
      <c r="B282" s="211" t="str">
        <f t="shared" si="12"/>
        <v>H_d</v>
      </c>
      <c r="C282" s="149">
        <v>25</v>
      </c>
      <c r="D282" s="149" t="s">
        <v>2873</v>
      </c>
      <c r="O282" s="192" t="s">
        <v>2379</v>
      </c>
      <c r="P282" s="187"/>
      <c r="Q282" s="187"/>
      <c r="R282" s="187"/>
      <c r="S282" s="187"/>
      <c r="T282" s="187"/>
      <c r="U282" s="187"/>
      <c r="V282" s="898" t="s">
        <v>491</v>
      </c>
      <c r="W282" s="898"/>
      <c r="X282" s="898"/>
      <c r="Y282" s="898"/>
      <c r="Z282" s="898"/>
      <c r="AA282" s="898"/>
    </row>
    <row r="283" spans="1:27" s="149" customFormat="1" hidden="1">
      <c r="A283" s="149" t="str">
        <f t="shared" si="13"/>
        <v>H_d#26</v>
      </c>
      <c r="B283" s="211" t="str">
        <f t="shared" si="12"/>
        <v>H_d</v>
      </c>
      <c r="C283" s="149">
        <v>26</v>
      </c>
      <c r="D283" s="149" t="s">
        <v>619</v>
      </c>
      <c r="O283" s="192" t="s">
        <v>2379</v>
      </c>
      <c r="P283" s="187"/>
      <c r="Q283" s="187"/>
      <c r="R283" s="187"/>
      <c r="S283" s="187"/>
      <c r="T283" s="187"/>
      <c r="U283" s="187"/>
      <c r="V283" s="206" t="s">
        <v>492</v>
      </c>
      <c r="W283" s="206"/>
      <c r="X283" s="206"/>
      <c r="Y283" s="206"/>
      <c r="Z283" s="206"/>
      <c r="AA283" s="206"/>
    </row>
    <row r="284" spans="1:27" s="149" customFormat="1" hidden="1">
      <c r="A284" s="149" t="str">
        <f t="shared" si="13"/>
        <v>H_d#27</v>
      </c>
      <c r="B284" s="211" t="str">
        <f t="shared" si="12"/>
        <v>H_d</v>
      </c>
      <c r="C284" s="149">
        <v>27</v>
      </c>
      <c r="D284" s="149" t="s">
        <v>619</v>
      </c>
      <c r="O284" s="192" t="s">
        <v>2379</v>
      </c>
      <c r="P284" s="187"/>
      <c r="Q284" s="187"/>
      <c r="R284" s="187"/>
      <c r="S284" s="187"/>
      <c r="T284" s="187"/>
      <c r="U284" s="187"/>
      <c r="V284" s="206" t="s">
        <v>493</v>
      </c>
      <c r="W284" s="206"/>
      <c r="X284" s="206"/>
      <c r="Y284" s="206"/>
      <c r="Z284" s="206"/>
      <c r="AA284" s="206"/>
    </row>
    <row r="285" spans="1:27" s="149" customFormat="1" ht="13.8" hidden="1" thickBot="1">
      <c r="A285" s="149" t="str">
        <f t="shared" si="13"/>
        <v>H_d#28</v>
      </c>
      <c r="B285" s="211" t="str">
        <f t="shared" si="12"/>
        <v>H_d</v>
      </c>
      <c r="C285" s="149">
        <v>28</v>
      </c>
      <c r="D285" s="149" t="s">
        <v>619</v>
      </c>
      <c r="O285" s="192" t="s">
        <v>2379</v>
      </c>
      <c r="P285" s="187"/>
      <c r="Q285" s="187"/>
      <c r="R285" s="187"/>
      <c r="S285" s="187"/>
      <c r="T285" s="187"/>
      <c r="U285" s="187"/>
      <c r="V285" s="899" t="s">
        <v>494</v>
      </c>
      <c r="W285" s="899"/>
      <c r="X285" s="899"/>
      <c r="Y285" s="899"/>
      <c r="Z285" s="899"/>
      <c r="AA285" s="899"/>
    </row>
    <row r="286" spans="1:27" s="149" customFormat="1" hidden="1">
      <c r="A286" s="149" t="str">
        <f t="shared" si="13"/>
        <v>H_d#31</v>
      </c>
      <c r="B286" s="211" t="str">
        <f t="shared" si="12"/>
        <v>H_d</v>
      </c>
      <c r="C286" s="149">
        <v>31</v>
      </c>
      <c r="D286" s="149" t="s">
        <v>2877</v>
      </c>
      <c r="O286" s="192" t="s">
        <v>2380</v>
      </c>
      <c r="P286" s="187"/>
      <c r="Q286" s="187"/>
      <c r="R286" s="187"/>
      <c r="S286" s="187"/>
      <c r="T286" s="187"/>
      <c r="U286" s="187"/>
      <c r="V286" s="898" t="s">
        <v>495</v>
      </c>
      <c r="W286" s="898"/>
      <c r="X286" s="898"/>
      <c r="Y286" s="898"/>
      <c r="Z286" s="898"/>
      <c r="AA286" s="898"/>
    </row>
    <row r="287" spans="1:27" s="149" customFormat="1" hidden="1">
      <c r="A287" s="149" t="str">
        <f t="shared" si="13"/>
        <v>H_d#32</v>
      </c>
      <c r="B287" s="211" t="str">
        <f t="shared" si="12"/>
        <v>H_d</v>
      </c>
      <c r="C287" s="149">
        <v>32</v>
      </c>
      <c r="D287" s="149" t="s">
        <v>642</v>
      </c>
      <c r="O287" s="192" t="s">
        <v>2380</v>
      </c>
      <c r="P287" s="187"/>
      <c r="Q287" s="187"/>
      <c r="R287" s="187"/>
      <c r="S287" s="187"/>
      <c r="T287" s="187"/>
      <c r="U287" s="187"/>
      <c r="V287" s="206" t="s">
        <v>496</v>
      </c>
      <c r="W287" s="206"/>
      <c r="X287" s="206"/>
      <c r="Y287" s="206"/>
      <c r="Z287" s="206"/>
      <c r="AA287" s="206"/>
    </row>
    <row r="288" spans="1:27" s="149" customFormat="1" hidden="1">
      <c r="A288" s="149" t="str">
        <f t="shared" si="13"/>
        <v>H_d#33</v>
      </c>
      <c r="B288" s="211" t="str">
        <f t="shared" si="12"/>
        <v>H_d</v>
      </c>
      <c r="C288" s="149">
        <v>33</v>
      </c>
      <c r="D288" s="149" t="s">
        <v>642</v>
      </c>
      <c r="O288" s="192" t="s">
        <v>2380</v>
      </c>
      <c r="P288" s="187"/>
      <c r="Q288" s="187"/>
      <c r="R288" s="187"/>
      <c r="S288" s="187"/>
      <c r="T288" s="187"/>
      <c r="U288" s="187"/>
      <c r="V288" s="206" t="s">
        <v>497</v>
      </c>
      <c r="W288" s="206"/>
      <c r="X288" s="206"/>
      <c r="Y288" s="206"/>
      <c r="Z288" s="206"/>
      <c r="AA288" s="206"/>
    </row>
    <row r="289" spans="1:27" s="149" customFormat="1" ht="13.8" hidden="1" thickBot="1">
      <c r="A289" s="149" t="str">
        <f t="shared" si="13"/>
        <v>H_d#34</v>
      </c>
      <c r="B289" s="211" t="str">
        <f t="shared" si="12"/>
        <v>H_d</v>
      </c>
      <c r="C289" s="149">
        <v>34</v>
      </c>
      <c r="D289" s="149" t="s">
        <v>642</v>
      </c>
      <c r="O289" s="192" t="s">
        <v>2380</v>
      </c>
      <c r="P289" s="187"/>
      <c r="Q289" s="187"/>
      <c r="R289" s="187"/>
      <c r="S289" s="187"/>
      <c r="T289" s="187"/>
      <c r="U289" s="187"/>
      <c r="V289" s="899" t="s">
        <v>498</v>
      </c>
      <c r="W289" s="899"/>
      <c r="X289" s="899"/>
      <c r="Y289" s="899"/>
      <c r="Z289" s="899"/>
      <c r="AA289" s="899"/>
    </row>
    <row r="290" spans="1:27" s="149" customFormat="1" hidden="1">
      <c r="A290" s="149" t="str">
        <f t="shared" si="13"/>
        <v>H_d#35</v>
      </c>
      <c r="B290" s="211" t="str">
        <f t="shared" si="12"/>
        <v>H_d</v>
      </c>
      <c r="C290" s="149">
        <v>35</v>
      </c>
      <c r="D290" s="149" t="s">
        <v>2874</v>
      </c>
      <c r="O290" s="192" t="s">
        <v>2381</v>
      </c>
      <c r="P290" s="187"/>
      <c r="Q290" s="187"/>
      <c r="R290" s="187"/>
      <c r="S290" s="187"/>
      <c r="T290" s="187"/>
      <c r="U290" s="187"/>
      <c r="V290" s="898" t="s">
        <v>499</v>
      </c>
      <c r="W290" s="898"/>
      <c r="X290" s="898"/>
      <c r="Y290" s="898"/>
      <c r="Z290" s="898"/>
      <c r="AA290" s="898"/>
    </row>
    <row r="291" spans="1:27" s="149" customFormat="1" hidden="1">
      <c r="A291" s="149" t="str">
        <f t="shared" si="13"/>
        <v>H_d#36</v>
      </c>
      <c r="B291" s="211" t="str">
        <f t="shared" si="12"/>
        <v>H_d</v>
      </c>
      <c r="C291" s="149">
        <v>36</v>
      </c>
      <c r="D291" s="149" t="s">
        <v>643</v>
      </c>
      <c r="O291" s="192" t="s">
        <v>2381</v>
      </c>
      <c r="P291" s="187"/>
      <c r="Q291" s="187"/>
      <c r="R291" s="187"/>
      <c r="S291" s="187"/>
      <c r="T291" s="187"/>
      <c r="U291" s="187"/>
      <c r="V291" s="206" t="s">
        <v>500</v>
      </c>
      <c r="W291" s="206"/>
      <c r="X291" s="206"/>
      <c r="Y291" s="206"/>
      <c r="Z291" s="206"/>
      <c r="AA291" s="206"/>
    </row>
    <row r="292" spans="1:27" s="149" customFormat="1" hidden="1">
      <c r="A292" s="149" t="str">
        <f t="shared" si="13"/>
        <v>H_d#37</v>
      </c>
      <c r="B292" s="211" t="str">
        <f t="shared" si="12"/>
        <v>H_d</v>
      </c>
      <c r="C292" s="149">
        <v>37</v>
      </c>
      <c r="D292" s="149" t="s">
        <v>643</v>
      </c>
      <c r="O292" s="192" t="s">
        <v>2381</v>
      </c>
      <c r="P292" s="187"/>
      <c r="Q292" s="187"/>
      <c r="R292" s="187"/>
      <c r="S292" s="187"/>
      <c r="T292" s="187"/>
      <c r="U292" s="187"/>
      <c r="V292" s="206" t="s">
        <v>501</v>
      </c>
      <c r="W292" s="206"/>
      <c r="X292" s="206"/>
      <c r="Y292" s="206"/>
      <c r="Z292" s="206"/>
      <c r="AA292" s="206"/>
    </row>
    <row r="293" spans="1:27" s="149" customFormat="1" ht="13.8" hidden="1" thickBot="1">
      <c r="A293" s="149" t="str">
        <f t="shared" si="13"/>
        <v>H_d#38</v>
      </c>
      <c r="B293" s="211" t="str">
        <f t="shared" si="12"/>
        <v>H_d</v>
      </c>
      <c r="C293" s="149">
        <v>38</v>
      </c>
      <c r="D293" s="149" t="s">
        <v>643</v>
      </c>
      <c r="O293" s="192" t="s">
        <v>2381</v>
      </c>
      <c r="P293" s="187"/>
      <c r="Q293" s="187"/>
      <c r="R293" s="187"/>
      <c r="S293" s="187"/>
      <c r="T293" s="187"/>
      <c r="U293" s="187"/>
      <c r="V293" s="899" t="s">
        <v>502</v>
      </c>
      <c r="W293" s="899"/>
      <c r="X293" s="899"/>
      <c r="Y293" s="899"/>
      <c r="Z293" s="899"/>
      <c r="AA293" s="899"/>
    </row>
    <row r="294" spans="1:27" s="149" customFormat="1" hidden="1">
      <c r="A294" s="149" t="str">
        <f t="shared" si="13"/>
        <v>H_d#41</v>
      </c>
      <c r="B294" s="211" t="str">
        <f t="shared" si="12"/>
        <v>H_d</v>
      </c>
      <c r="C294" s="149">
        <v>41</v>
      </c>
      <c r="D294" s="149" t="s">
        <v>2875</v>
      </c>
      <c r="O294" s="192" t="s">
        <v>2382</v>
      </c>
      <c r="P294" s="187"/>
      <c r="Q294" s="187"/>
      <c r="R294" s="187"/>
      <c r="S294" s="187"/>
      <c r="T294" s="187"/>
      <c r="U294" s="187"/>
      <c r="V294" s="898" t="s">
        <v>503</v>
      </c>
      <c r="W294" s="898"/>
      <c r="X294" s="898"/>
      <c r="Y294" s="898"/>
      <c r="Z294" s="898"/>
      <c r="AA294" s="898"/>
    </row>
    <row r="295" spans="1:27" s="149" customFormat="1" hidden="1">
      <c r="A295" s="149" t="str">
        <f t="shared" si="13"/>
        <v>H_d#42</v>
      </c>
      <c r="B295" s="211" t="str">
        <f t="shared" si="12"/>
        <v>H_d</v>
      </c>
      <c r="C295" s="149">
        <v>42</v>
      </c>
      <c r="D295" s="149" t="s">
        <v>644</v>
      </c>
      <c r="O295" s="192" t="s">
        <v>2382</v>
      </c>
      <c r="P295" s="187"/>
      <c r="Q295" s="187"/>
      <c r="R295" s="187"/>
      <c r="S295" s="187"/>
      <c r="T295" s="187"/>
      <c r="U295" s="187"/>
      <c r="V295" s="206" t="s">
        <v>504</v>
      </c>
      <c r="W295" s="206"/>
      <c r="X295" s="206"/>
      <c r="Y295" s="206"/>
      <c r="Z295" s="206"/>
      <c r="AA295" s="206"/>
    </row>
    <row r="296" spans="1:27" s="149" customFormat="1" hidden="1">
      <c r="A296" s="149" t="str">
        <f t="shared" si="13"/>
        <v>H_d#43</v>
      </c>
      <c r="B296" s="211" t="str">
        <f t="shared" si="12"/>
        <v>H_d</v>
      </c>
      <c r="C296" s="149">
        <v>43</v>
      </c>
      <c r="D296" s="149" t="s">
        <v>644</v>
      </c>
      <c r="O296" s="192" t="s">
        <v>2382</v>
      </c>
      <c r="P296" s="187"/>
      <c r="Q296" s="187"/>
      <c r="R296" s="187"/>
      <c r="S296" s="187"/>
      <c r="T296" s="187"/>
      <c r="U296" s="187"/>
      <c r="V296" s="206" t="s">
        <v>505</v>
      </c>
      <c r="W296" s="206"/>
      <c r="X296" s="206"/>
      <c r="Y296" s="206"/>
      <c r="Z296" s="206"/>
      <c r="AA296" s="206"/>
    </row>
    <row r="297" spans="1:27" s="149" customFormat="1" ht="13.8" hidden="1" thickBot="1">
      <c r="A297" s="149" t="str">
        <f t="shared" si="13"/>
        <v>H_d#44</v>
      </c>
      <c r="B297" s="211" t="str">
        <f t="shared" si="12"/>
        <v>H_d</v>
      </c>
      <c r="C297" s="149">
        <v>44</v>
      </c>
      <c r="D297" s="149" t="s">
        <v>644</v>
      </c>
      <c r="O297" s="192" t="s">
        <v>2382</v>
      </c>
      <c r="P297" s="187"/>
      <c r="Q297" s="187"/>
      <c r="R297" s="187"/>
      <c r="S297" s="187"/>
      <c r="T297" s="187"/>
      <c r="U297" s="187"/>
      <c r="V297" s="899" t="s">
        <v>506</v>
      </c>
      <c r="W297" s="899"/>
      <c r="X297" s="899"/>
      <c r="Y297" s="899"/>
      <c r="Z297" s="899"/>
      <c r="AA297" s="899"/>
    </row>
    <row r="298" spans="1:27" s="149" customFormat="1" hidden="1">
      <c r="A298" s="149" t="str">
        <f t="shared" si="13"/>
        <v>H_d#45</v>
      </c>
      <c r="B298" s="211" t="str">
        <f t="shared" si="12"/>
        <v>H_d</v>
      </c>
      <c r="C298" s="149">
        <v>45</v>
      </c>
      <c r="D298" s="149" t="s">
        <v>2876</v>
      </c>
      <c r="O298" s="192" t="s">
        <v>2383</v>
      </c>
      <c r="P298" s="187"/>
      <c r="Q298" s="187"/>
      <c r="R298" s="187"/>
      <c r="S298" s="187"/>
      <c r="T298" s="187"/>
      <c r="U298" s="187"/>
      <c r="V298" s="898" t="s">
        <v>507</v>
      </c>
      <c r="W298" s="898"/>
      <c r="X298" s="898"/>
      <c r="Y298" s="898"/>
      <c r="Z298" s="898"/>
      <c r="AA298" s="898"/>
    </row>
    <row r="299" spans="1:27" s="149" customFormat="1" hidden="1">
      <c r="A299" s="149" t="str">
        <f t="shared" si="13"/>
        <v>H_d#46</v>
      </c>
      <c r="B299" s="211" t="str">
        <f t="shared" si="12"/>
        <v>H_d</v>
      </c>
      <c r="C299" s="149">
        <v>46</v>
      </c>
      <c r="D299" s="149" t="s">
        <v>645</v>
      </c>
      <c r="O299" s="192" t="s">
        <v>2383</v>
      </c>
      <c r="P299" s="187"/>
      <c r="Q299" s="187"/>
      <c r="R299" s="187"/>
      <c r="S299" s="187"/>
      <c r="T299" s="187"/>
      <c r="U299" s="187"/>
      <c r="V299" s="206" t="s">
        <v>508</v>
      </c>
      <c r="W299" s="206"/>
      <c r="X299" s="206"/>
      <c r="Y299" s="206"/>
      <c r="Z299" s="206"/>
      <c r="AA299" s="206"/>
    </row>
    <row r="300" spans="1:27" s="149" customFormat="1" hidden="1">
      <c r="A300" s="149" t="str">
        <f t="shared" si="13"/>
        <v>H_d#47</v>
      </c>
      <c r="B300" s="211" t="str">
        <f t="shared" si="12"/>
        <v>H_d</v>
      </c>
      <c r="C300" s="149">
        <v>47</v>
      </c>
      <c r="D300" s="149" t="s">
        <v>645</v>
      </c>
      <c r="O300" s="192" t="s">
        <v>2383</v>
      </c>
      <c r="P300" s="187"/>
      <c r="Q300" s="187"/>
      <c r="R300" s="187"/>
      <c r="S300" s="187"/>
      <c r="T300" s="187"/>
      <c r="U300" s="187"/>
      <c r="V300" s="206" t="s">
        <v>509</v>
      </c>
      <c r="W300" s="206"/>
      <c r="X300" s="206"/>
      <c r="Y300" s="206"/>
      <c r="Z300" s="206"/>
      <c r="AA300" s="206"/>
    </row>
    <row r="301" spans="1:27" s="149" customFormat="1" ht="13.8" hidden="1" thickBot="1">
      <c r="A301" s="149" t="str">
        <f t="shared" si="13"/>
        <v>H_d#48</v>
      </c>
      <c r="B301" s="212" t="str">
        <f t="shared" si="12"/>
        <v>H_d</v>
      </c>
      <c r="C301" s="149">
        <v>48</v>
      </c>
      <c r="D301" s="149" t="s">
        <v>645</v>
      </c>
      <c r="O301" s="192" t="s">
        <v>2383</v>
      </c>
      <c r="P301" s="187"/>
      <c r="Q301" s="187"/>
      <c r="R301" s="187"/>
      <c r="S301" s="187"/>
      <c r="T301" s="187"/>
      <c r="U301" s="187"/>
      <c r="V301" s="899" t="s">
        <v>510</v>
      </c>
      <c r="W301" s="899"/>
      <c r="X301" s="899"/>
      <c r="Y301" s="899"/>
      <c r="Z301" s="899"/>
      <c r="AA301" s="899"/>
    </row>
    <row r="302" spans="1:27" s="149" customFormat="1" hidden="1">
      <c r="A302" s="149" t="str">
        <f t="shared" si="13"/>
        <v>H_s#0</v>
      </c>
      <c r="B302" s="210" t="s">
        <v>422</v>
      </c>
      <c r="C302" s="149">
        <v>0</v>
      </c>
      <c r="D302" s="205" t="s">
        <v>2384</v>
      </c>
      <c r="O302" s="187" t="str">
        <f t="shared" ref="O302:O329" si="14">D302</f>
        <v>- (keine Speicherung)</v>
      </c>
      <c r="P302" s="187"/>
      <c r="Q302" s="187"/>
      <c r="R302" s="187"/>
      <c r="S302" s="187"/>
      <c r="T302" s="187"/>
      <c r="U302" s="187"/>
      <c r="V302" s="206" t="s">
        <v>428</v>
      </c>
    </row>
    <row r="303" spans="1:27" s="149" customFormat="1" hidden="1">
      <c r="A303" s="149" t="str">
        <f t="shared" si="13"/>
        <v>H_s#1</v>
      </c>
      <c r="B303" s="211" t="str">
        <f>B302</f>
        <v>H_s</v>
      </c>
      <c r="C303" s="149">
        <v>1</v>
      </c>
      <c r="D303" s="149" t="s">
        <v>667</v>
      </c>
      <c r="O303" s="187" t="str">
        <f t="shared" si="14"/>
        <v>Aufstellung innerhalb der thermischen Hülle</v>
      </c>
      <c r="P303" s="187"/>
      <c r="Q303" s="187"/>
      <c r="R303" s="187"/>
      <c r="S303" s="187"/>
      <c r="T303" s="187"/>
      <c r="U303" s="187"/>
      <c r="V303" s="206" t="s">
        <v>511</v>
      </c>
    </row>
    <row r="304" spans="1:27" s="149" customFormat="1" hidden="1">
      <c r="A304" s="149" t="str">
        <f t="shared" si="13"/>
        <v>H_s#2</v>
      </c>
      <c r="B304" s="211" t="str">
        <f>B303</f>
        <v>H_s</v>
      </c>
      <c r="C304" s="149">
        <v>2</v>
      </c>
      <c r="D304" s="149" t="s">
        <v>667</v>
      </c>
      <c r="O304" s="187" t="str">
        <f t="shared" si="14"/>
        <v>Aufstellung innerhalb der thermischen Hülle</v>
      </c>
      <c r="P304" s="187"/>
      <c r="Q304" s="187"/>
      <c r="R304" s="187"/>
      <c r="S304" s="187"/>
      <c r="T304" s="187"/>
      <c r="U304" s="187"/>
      <c r="V304" s="206" t="s">
        <v>512</v>
      </c>
    </row>
    <row r="305" spans="1:22" s="149" customFormat="1" hidden="1">
      <c r="A305" s="149" t="str">
        <f t="shared" si="13"/>
        <v>H_s#3</v>
      </c>
      <c r="B305" s="211" t="str">
        <f>B304</f>
        <v>H_s</v>
      </c>
      <c r="C305" s="149">
        <v>3</v>
      </c>
      <c r="D305" s="149" t="s">
        <v>668</v>
      </c>
      <c r="O305" s="187" t="str">
        <f t="shared" si="14"/>
        <v>Aufstellung außerhalb der thermischen Hülle</v>
      </c>
      <c r="P305" s="187"/>
      <c r="Q305" s="187"/>
      <c r="R305" s="187"/>
      <c r="S305" s="187"/>
      <c r="T305" s="187"/>
      <c r="U305" s="187"/>
      <c r="V305" s="206" t="s">
        <v>513</v>
      </c>
    </row>
    <row r="306" spans="1:22" s="149" customFormat="1" hidden="1">
      <c r="A306" s="149" t="str">
        <f t="shared" si="13"/>
        <v>H_s#4</v>
      </c>
      <c r="B306" s="212" t="str">
        <f>B305</f>
        <v>H_s</v>
      </c>
      <c r="C306" s="149">
        <v>4</v>
      </c>
      <c r="D306" s="149" t="s">
        <v>668</v>
      </c>
      <c r="O306" s="187" t="str">
        <f t="shared" si="14"/>
        <v>Aufstellung außerhalb der thermischen Hülle</v>
      </c>
      <c r="P306" s="187"/>
      <c r="Q306" s="187"/>
      <c r="R306" s="187"/>
      <c r="S306" s="187"/>
      <c r="T306" s="187"/>
      <c r="U306" s="187"/>
      <c r="V306" s="206" t="s">
        <v>514</v>
      </c>
    </row>
    <row r="307" spans="1:22" s="149" customFormat="1" hidden="1">
      <c r="A307" s="149" t="str">
        <f t="shared" si="13"/>
        <v>H_g#0</v>
      </c>
      <c r="B307" s="210" t="s">
        <v>423</v>
      </c>
      <c r="C307" s="149">
        <v>0</v>
      </c>
      <c r="D307" s="205" t="s">
        <v>636</v>
      </c>
      <c r="O307" s="187" t="str">
        <f t="shared" si="14"/>
        <v>- keine Erzeugung</v>
      </c>
      <c r="P307" s="187"/>
      <c r="Q307" s="187"/>
      <c r="R307" s="187"/>
      <c r="S307" s="187"/>
      <c r="T307" s="187"/>
      <c r="U307" s="187"/>
      <c r="V307" s="206" t="s">
        <v>428</v>
      </c>
    </row>
    <row r="308" spans="1:22" s="149" customFormat="1" hidden="1">
      <c r="A308" s="149" t="str">
        <f t="shared" si="13"/>
        <v>H_g#1</v>
      </c>
      <c r="B308" s="211" t="str">
        <f t="shared" ref="B308:B344" si="15">B307</f>
        <v>H_g</v>
      </c>
      <c r="C308" s="149">
        <v>1</v>
      </c>
      <c r="D308" s="149" t="s">
        <v>449</v>
      </c>
      <c r="O308" s="187" t="str">
        <f t="shared" si="14"/>
        <v>Konstanttemperaturkessel</v>
      </c>
      <c r="P308" s="192"/>
      <c r="Q308" s="187"/>
      <c r="R308" s="187"/>
      <c r="S308" s="187"/>
      <c r="T308" s="187"/>
      <c r="U308" s="187"/>
      <c r="V308" s="206" t="s">
        <v>449</v>
      </c>
    </row>
    <row r="309" spans="1:22" s="149" customFormat="1" hidden="1">
      <c r="A309" s="149" t="str">
        <f t="shared" si="13"/>
        <v>H_g#2</v>
      </c>
      <c r="B309" s="211" t="str">
        <f t="shared" si="15"/>
        <v>H_g</v>
      </c>
      <c r="C309" s="149">
        <v>2</v>
      </c>
      <c r="D309" s="149" t="s">
        <v>648</v>
      </c>
      <c r="O309" s="187" t="str">
        <f t="shared" si="14"/>
        <v xml:space="preserve">Niedertemperaturkessel, 70/55°C, </v>
      </c>
      <c r="P309" s="192"/>
      <c r="Q309" s="187"/>
      <c r="R309" s="187"/>
      <c r="S309" s="187"/>
      <c r="T309" s="187"/>
      <c r="U309" s="187"/>
      <c r="V309" s="206" t="s">
        <v>515</v>
      </c>
    </row>
    <row r="310" spans="1:22" s="149" customFormat="1" hidden="1">
      <c r="A310" s="149" t="str">
        <f t="shared" si="13"/>
        <v>H_g#3</v>
      </c>
      <c r="B310" s="211" t="str">
        <f t="shared" si="15"/>
        <v>H_g</v>
      </c>
      <c r="C310" s="149">
        <v>3</v>
      </c>
      <c r="D310" s="149" t="s">
        <v>649</v>
      </c>
      <c r="O310" s="187" t="str">
        <f t="shared" si="14"/>
        <v>Niedertemperaturkessel, 55/45°C</v>
      </c>
      <c r="P310" s="192"/>
      <c r="Q310" s="187"/>
      <c r="R310" s="187"/>
      <c r="S310" s="187"/>
      <c r="T310" s="187"/>
      <c r="U310" s="187"/>
      <c r="V310" s="206" t="s">
        <v>516</v>
      </c>
    </row>
    <row r="311" spans="1:22" s="149" customFormat="1" hidden="1">
      <c r="A311" s="149" t="str">
        <f t="shared" si="13"/>
        <v>H_g#4</v>
      </c>
      <c r="B311" s="211" t="str">
        <f t="shared" si="15"/>
        <v>H_g</v>
      </c>
      <c r="C311" s="149">
        <v>4</v>
      </c>
      <c r="D311" s="149" t="s">
        <v>650</v>
      </c>
      <c r="O311" s="187" t="str">
        <f t="shared" si="14"/>
        <v>Niedertemperaturkessel, 35/28°C</v>
      </c>
      <c r="P311" s="192"/>
      <c r="Q311" s="187"/>
      <c r="R311" s="187"/>
      <c r="S311" s="187"/>
      <c r="T311" s="187"/>
      <c r="U311" s="187"/>
      <c r="V311" s="206" t="s">
        <v>517</v>
      </c>
    </row>
    <row r="312" spans="1:22" s="149" customFormat="1" hidden="1">
      <c r="A312" s="149" t="str">
        <f t="shared" ref="A312:A343" si="16">B312&amp;"#"&amp;C312</f>
        <v>H_g#5</v>
      </c>
      <c r="B312" s="211" t="str">
        <f t="shared" si="15"/>
        <v>H_g</v>
      </c>
      <c r="C312" s="149">
        <v>5</v>
      </c>
      <c r="D312" s="149" t="s">
        <v>651</v>
      </c>
      <c r="O312" s="187" t="str">
        <f t="shared" si="14"/>
        <v>Brennwertkessel, 70/55°C</v>
      </c>
      <c r="P312" s="192"/>
      <c r="Q312" s="187"/>
      <c r="R312" s="187"/>
      <c r="S312" s="187"/>
      <c r="T312" s="187"/>
      <c r="U312" s="187"/>
      <c r="V312" s="206" t="s">
        <v>518</v>
      </c>
    </row>
    <row r="313" spans="1:22" s="149" customFormat="1" hidden="1">
      <c r="A313" s="149" t="str">
        <f t="shared" si="16"/>
        <v>H_g#6</v>
      </c>
      <c r="B313" s="211" t="str">
        <f t="shared" si="15"/>
        <v>H_g</v>
      </c>
      <c r="C313" s="149">
        <v>6</v>
      </c>
      <c r="D313" s="149" t="s">
        <v>652</v>
      </c>
      <c r="O313" s="187" t="str">
        <f t="shared" si="14"/>
        <v>Brennwertkessel, 55/45°C</v>
      </c>
      <c r="P313" s="192"/>
      <c r="Q313" s="187"/>
      <c r="R313" s="187"/>
      <c r="S313" s="187"/>
      <c r="T313" s="187"/>
      <c r="U313" s="187"/>
      <c r="V313" s="206" t="s">
        <v>519</v>
      </c>
    </row>
    <row r="314" spans="1:22" s="149" customFormat="1" hidden="1">
      <c r="A314" s="149" t="str">
        <f t="shared" si="16"/>
        <v>H_g#7</v>
      </c>
      <c r="B314" s="211" t="str">
        <f t="shared" si="15"/>
        <v>H_g</v>
      </c>
      <c r="C314" s="149">
        <v>7</v>
      </c>
      <c r="D314" s="149" t="s">
        <v>653</v>
      </c>
      <c r="O314" s="187" t="str">
        <f t="shared" si="14"/>
        <v>Brennwertkessel, 35/28°C</v>
      </c>
      <c r="P314" s="192"/>
      <c r="Q314" s="187"/>
      <c r="R314" s="187"/>
      <c r="S314" s="187"/>
      <c r="T314" s="187"/>
      <c r="U314" s="187"/>
      <c r="V314" s="206" t="s">
        <v>520</v>
      </c>
    </row>
    <row r="315" spans="1:22" s="149" customFormat="1" hidden="1">
      <c r="A315" s="149" t="str">
        <f t="shared" si="16"/>
        <v>H_g#8</v>
      </c>
      <c r="B315" s="211" t="str">
        <f t="shared" si="15"/>
        <v>H_g</v>
      </c>
      <c r="C315" s="149">
        <v>8</v>
      </c>
      <c r="D315" s="149" t="s">
        <v>654</v>
      </c>
      <c r="O315" s="187" t="str">
        <f t="shared" si="14"/>
        <v>Brennwertkessel verbessert, 70/55°C</v>
      </c>
      <c r="P315" s="192"/>
      <c r="Q315" s="187"/>
      <c r="R315" s="187"/>
      <c r="S315" s="187"/>
      <c r="T315" s="187"/>
      <c r="U315" s="187"/>
      <c r="V315" s="206" t="s">
        <v>521</v>
      </c>
    </row>
    <row r="316" spans="1:22" s="149" customFormat="1" hidden="1">
      <c r="A316" s="149" t="str">
        <f t="shared" si="16"/>
        <v>H_g#9</v>
      </c>
      <c r="B316" s="211" t="str">
        <f t="shared" si="15"/>
        <v>H_g</v>
      </c>
      <c r="C316" s="149">
        <v>9</v>
      </c>
      <c r="D316" s="149" t="s">
        <v>655</v>
      </c>
      <c r="O316" s="511" t="s">
        <v>2386</v>
      </c>
      <c r="P316" s="192"/>
      <c r="Q316" s="187"/>
      <c r="R316" s="187"/>
      <c r="S316" s="187"/>
      <c r="T316" s="187"/>
      <c r="U316" s="187"/>
      <c r="V316" s="206" t="s">
        <v>522</v>
      </c>
    </row>
    <row r="317" spans="1:22" s="149" customFormat="1" hidden="1">
      <c r="A317" s="149" t="str">
        <f t="shared" si="16"/>
        <v>H_g#10</v>
      </c>
      <c r="B317" s="211" t="str">
        <f t="shared" si="15"/>
        <v>H_g</v>
      </c>
      <c r="C317" s="149">
        <v>10</v>
      </c>
      <c r="D317" s="149" t="s">
        <v>656</v>
      </c>
      <c r="O317" s="187" t="str">
        <f t="shared" si="14"/>
        <v>Brennwertkessel verbessert, 35/28°C</v>
      </c>
      <c r="P317" s="192"/>
      <c r="Q317" s="187"/>
      <c r="R317" s="187"/>
      <c r="S317" s="187"/>
      <c r="T317" s="187"/>
      <c r="U317" s="187"/>
      <c r="V317" s="206" t="s">
        <v>523</v>
      </c>
    </row>
    <row r="318" spans="1:22" s="149" customFormat="1" hidden="1">
      <c r="A318" s="149" t="str">
        <f t="shared" si="16"/>
        <v>H_g#11</v>
      </c>
      <c r="B318" s="211" t="str">
        <f t="shared" si="15"/>
        <v>H_g</v>
      </c>
      <c r="C318" s="149">
        <v>11</v>
      </c>
      <c r="D318" s="149" t="s">
        <v>657</v>
      </c>
      <c r="O318" s="187" t="str">
        <f t="shared" si="14"/>
        <v>Konstanttemperaturkessel, Aufstellung innerhalb thermischer Hülle</v>
      </c>
      <c r="P318" s="192"/>
      <c r="Q318" s="187"/>
      <c r="R318" s="187"/>
      <c r="S318" s="187"/>
      <c r="T318" s="187"/>
      <c r="U318" s="187"/>
      <c r="V318" s="206" t="s">
        <v>524</v>
      </c>
    </row>
    <row r="319" spans="1:22" s="149" customFormat="1" hidden="1">
      <c r="A319" s="149" t="str">
        <f t="shared" si="16"/>
        <v>H_g#12</v>
      </c>
      <c r="B319" s="211" t="str">
        <f t="shared" si="15"/>
        <v>H_g</v>
      </c>
      <c r="C319" s="149">
        <v>12</v>
      </c>
      <c r="D319" s="149" t="s">
        <v>658</v>
      </c>
      <c r="O319" s="187" t="str">
        <f t="shared" si="14"/>
        <v>Niedertemperaturkessel, 70/55°C, Aufstellung innerhalb thermischer Hülle</v>
      </c>
      <c r="P319" s="192"/>
      <c r="Q319" s="187"/>
      <c r="R319" s="187"/>
      <c r="S319" s="187"/>
      <c r="T319" s="187"/>
      <c r="U319" s="187"/>
      <c r="V319" s="206" t="s">
        <v>525</v>
      </c>
    </row>
    <row r="320" spans="1:22" s="149" customFormat="1" hidden="1">
      <c r="A320" s="149" t="str">
        <f t="shared" si="16"/>
        <v>H_g#13</v>
      </c>
      <c r="B320" s="211" t="str">
        <f t="shared" si="15"/>
        <v>H_g</v>
      </c>
      <c r="C320" s="149">
        <v>13</v>
      </c>
      <c r="D320" s="149" t="s">
        <v>659</v>
      </c>
      <c r="O320" s="511" t="s">
        <v>2388</v>
      </c>
      <c r="P320" s="192"/>
      <c r="Q320" s="187"/>
      <c r="R320" s="187"/>
      <c r="S320" s="187"/>
      <c r="T320" s="187"/>
      <c r="U320" s="187"/>
      <c r="V320" s="206" t="s">
        <v>526</v>
      </c>
    </row>
    <row r="321" spans="1:22" s="149" customFormat="1" hidden="1">
      <c r="A321" s="149" t="str">
        <f t="shared" si="16"/>
        <v>H_g#14</v>
      </c>
      <c r="B321" s="211" t="str">
        <f t="shared" si="15"/>
        <v>H_g</v>
      </c>
      <c r="C321" s="149">
        <v>14</v>
      </c>
      <c r="D321" s="149" t="s">
        <v>660</v>
      </c>
      <c r="O321" s="187" t="str">
        <f t="shared" si="14"/>
        <v>Niedertemperaturkessel, 35/28°C, Aufstellung innerhalb thermischer Hülle</v>
      </c>
      <c r="P321" s="192"/>
      <c r="Q321" s="187"/>
      <c r="R321" s="187"/>
      <c r="S321" s="187"/>
      <c r="T321" s="187"/>
      <c r="U321" s="187"/>
      <c r="V321" s="206" t="s">
        <v>527</v>
      </c>
    </row>
    <row r="322" spans="1:22" s="149" customFormat="1" hidden="1">
      <c r="A322" s="149" t="str">
        <f t="shared" si="16"/>
        <v>H_g#15</v>
      </c>
      <c r="B322" s="211" t="str">
        <f t="shared" si="15"/>
        <v>H_g</v>
      </c>
      <c r="C322" s="149">
        <v>15</v>
      </c>
      <c r="D322" s="149" t="s">
        <v>661</v>
      </c>
      <c r="O322" s="187" t="str">
        <f t="shared" si="14"/>
        <v>Brennwertkessel, 70/55°C, Aufstellung innerhalb thermischer Hülle</v>
      </c>
      <c r="P322" s="192"/>
      <c r="Q322" s="187"/>
      <c r="R322" s="187"/>
      <c r="S322" s="187"/>
      <c r="T322" s="187"/>
      <c r="U322" s="187"/>
      <c r="V322" s="206" t="s">
        <v>528</v>
      </c>
    </row>
    <row r="323" spans="1:22" s="149" customFormat="1" hidden="1">
      <c r="A323" s="149" t="str">
        <f t="shared" si="16"/>
        <v>H_g#16</v>
      </c>
      <c r="B323" s="211" t="str">
        <f t="shared" si="15"/>
        <v>H_g</v>
      </c>
      <c r="C323" s="149">
        <v>16</v>
      </c>
      <c r="D323" s="149" t="s">
        <v>662</v>
      </c>
      <c r="O323" s="187" t="str">
        <f t="shared" si="14"/>
        <v>Brennwertkessel, 55/45°C, Aufstellung innerhalb thermischer Hülle</v>
      </c>
      <c r="P323" s="192"/>
      <c r="Q323" s="187"/>
      <c r="R323" s="187"/>
      <c r="S323" s="187"/>
      <c r="T323" s="187"/>
      <c r="U323" s="187"/>
      <c r="V323" s="206" t="s">
        <v>529</v>
      </c>
    </row>
    <row r="324" spans="1:22" s="149" customFormat="1" hidden="1">
      <c r="A324" s="149" t="str">
        <f t="shared" si="16"/>
        <v>H_g#17</v>
      </c>
      <c r="B324" s="211" t="str">
        <f t="shared" si="15"/>
        <v>H_g</v>
      </c>
      <c r="C324" s="149">
        <v>17</v>
      </c>
      <c r="D324" s="149" t="s">
        <v>663</v>
      </c>
      <c r="O324" s="187" t="str">
        <f t="shared" si="14"/>
        <v>Brennwertkessel, 35/28°C, Aufstellung innerhalb thermischer Hülle</v>
      </c>
      <c r="P324" s="192"/>
      <c r="Q324" s="187"/>
      <c r="R324" s="187"/>
      <c r="S324" s="187"/>
      <c r="T324" s="187"/>
      <c r="U324" s="187"/>
      <c r="V324" s="206" t="s">
        <v>530</v>
      </c>
    </row>
    <row r="325" spans="1:22" s="149" customFormat="1" hidden="1">
      <c r="A325" s="149" t="str">
        <f t="shared" si="16"/>
        <v>H_g#18</v>
      </c>
      <c r="B325" s="211" t="str">
        <f t="shared" si="15"/>
        <v>H_g</v>
      </c>
      <c r="C325" s="149">
        <v>18</v>
      </c>
      <c r="D325" s="149" t="s">
        <v>664</v>
      </c>
      <c r="O325" s="187" t="str">
        <f t="shared" si="14"/>
        <v>Brennwertkessel verbessert, 70/55°C, Aufstellung innerhalb thermischer Hülle</v>
      </c>
      <c r="P325" s="192"/>
      <c r="Q325" s="187"/>
      <c r="R325" s="187"/>
      <c r="S325" s="187"/>
      <c r="T325" s="187"/>
      <c r="U325" s="187"/>
      <c r="V325" s="206" t="s">
        <v>531</v>
      </c>
    </row>
    <row r="326" spans="1:22" s="149" customFormat="1" hidden="1">
      <c r="A326" s="149" t="str">
        <f t="shared" si="16"/>
        <v>H_g#19</v>
      </c>
      <c r="B326" s="211" t="str">
        <f t="shared" si="15"/>
        <v>H_g</v>
      </c>
      <c r="C326" s="149">
        <v>19</v>
      </c>
      <c r="D326" s="149" t="s">
        <v>665</v>
      </c>
      <c r="O326" s="511" t="s">
        <v>2386</v>
      </c>
      <c r="P326" s="192"/>
      <c r="Q326" s="187"/>
      <c r="R326" s="187"/>
      <c r="S326" s="187"/>
      <c r="T326" s="187"/>
      <c r="U326" s="187"/>
      <c r="V326" s="206" t="s">
        <v>532</v>
      </c>
    </row>
    <row r="327" spans="1:22" s="149" customFormat="1" hidden="1">
      <c r="A327" s="149" t="str">
        <f t="shared" si="16"/>
        <v>H_g#20</v>
      </c>
      <c r="B327" s="211" t="str">
        <f t="shared" si="15"/>
        <v>H_g</v>
      </c>
      <c r="C327" s="149">
        <v>20</v>
      </c>
      <c r="D327" s="149" t="s">
        <v>666</v>
      </c>
      <c r="O327" s="187" t="str">
        <f t="shared" si="14"/>
        <v>Brennwertkessel verbessert, 35/28°C, Aufstellung innerhalb thermischer Hülle</v>
      </c>
      <c r="P327" s="192"/>
      <c r="Q327" s="187"/>
      <c r="R327" s="187"/>
      <c r="S327" s="187"/>
      <c r="T327" s="187"/>
      <c r="U327" s="187"/>
      <c r="V327" s="206" t="s">
        <v>533</v>
      </c>
    </row>
    <row r="328" spans="1:22" s="149" customFormat="1" hidden="1">
      <c r="A328" s="149" t="str">
        <f t="shared" si="16"/>
        <v>H_g#21</v>
      </c>
      <c r="B328" s="211" t="str">
        <f t="shared" si="15"/>
        <v>H_g</v>
      </c>
      <c r="C328" s="149">
        <v>21</v>
      </c>
      <c r="D328" s="149" t="s">
        <v>647</v>
      </c>
      <c r="O328" s="187" t="str">
        <f t="shared" si="14"/>
        <v>Elektro-Direkt- oder -Speicherheizung</v>
      </c>
      <c r="P328" s="192"/>
      <c r="Q328" s="187"/>
      <c r="R328" s="187"/>
      <c r="S328" s="187"/>
      <c r="T328" s="187"/>
      <c r="U328" s="187"/>
      <c r="V328" s="206" t="s">
        <v>534</v>
      </c>
    </row>
    <row r="329" spans="1:22" s="149" customFormat="1" hidden="1">
      <c r="A329" s="149" t="str">
        <f t="shared" si="16"/>
        <v>H_g#22</v>
      </c>
      <c r="B329" s="211" t="str">
        <f t="shared" si="15"/>
        <v>H_g</v>
      </c>
      <c r="C329" s="149">
        <v>22</v>
      </c>
      <c r="D329" s="149" t="s">
        <v>535</v>
      </c>
      <c r="O329" s="187" t="str">
        <f t="shared" si="14"/>
        <v>Fern- und Nahwärme</v>
      </c>
      <c r="P329" s="192"/>
      <c r="Q329" s="187"/>
      <c r="R329" s="187"/>
      <c r="S329" s="187"/>
      <c r="T329" s="187"/>
      <c r="U329" s="187"/>
      <c r="V329" s="206" t="s">
        <v>535</v>
      </c>
    </row>
    <row r="330" spans="1:22" s="149" customFormat="1" hidden="1">
      <c r="A330" s="149" t="str">
        <f t="shared" si="16"/>
        <v>H_g#111</v>
      </c>
      <c r="B330" s="211" t="str">
        <f t="shared" si="15"/>
        <v>H_g</v>
      </c>
      <c r="C330" s="149">
        <v>111</v>
      </c>
      <c r="D330" s="149" t="s">
        <v>2958</v>
      </c>
      <c r="O330" s="192" t="s">
        <v>2972</v>
      </c>
      <c r="P330" s="192"/>
      <c r="Q330" s="187"/>
      <c r="R330" s="187"/>
      <c r="S330" s="187"/>
      <c r="T330" s="187"/>
      <c r="U330" s="187"/>
      <c r="V330" s="206" t="s">
        <v>536</v>
      </c>
    </row>
    <row r="331" spans="1:22" s="149" customFormat="1" hidden="1">
      <c r="A331" s="149" t="str">
        <f t="shared" si="16"/>
        <v>H_g#112</v>
      </c>
      <c r="B331" s="211" t="str">
        <f t="shared" si="15"/>
        <v>H_g</v>
      </c>
      <c r="C331" s="149">
        <v>112</v>
      </c>
      <c r="D331" s="149" t="s">
        <v>2955</v>
      </c>
      <c r="O331" s="192" t="s">
        <v>2971</v>
      </c>
      <c r="P331" s="192"/>
      <c r="Q331" s="204"/>
      <c r="R331" s="187"/>
      <c r="S331" s="187"/>
      <c r="T331" s="187"/>
      <c r="U331" s="187"/>
      <c r="V331" s="206" t="s">
        <v>537</v>
      </c>
    </row>
    <row r="332" spans="1:22" s="149" customFormat="1" hidden="1">
      <c r="A332" s="149" t="str">
        <f t="shared" si="16"/>
        <v>H_g#121</v>
      </c>
      <c r="B332" s="211" t="str">
        <f t="shared" si="15"/>
        <v>H_g</v>
      </c>
      <c r="C332" s="149">
        <v>121</v>
      </c>
      <c r="D332" s="149" t="s">
        <v>2956</v>
      </c>
      <c r="O332" s="943" t="str">
        <f>SUBSTITUTE(O330,"55/45","35/28")</f>
        <v>WP Wasser 35/28°C monov.</v>
      </c>
      <c r="P332" s="192"/>
      <c r="Q332" s="187"/>
      <c r="R332" s="187"/>
      <c r="S332" s="187"/>
      <c r="T332" s="187"/>
      <c r="U332" s="187"/>
      <c r="V332" s="206" t="s">
        <v>538</v>
      </c>
    </row>
    <row r="333" spans="1:22" s="149" customFormat="1" hidden="1">
      <c r="A333" s="149" t="str">
        <f t="shared" si="16"/>
        <v>H_g#122</v>
      </c>
      <c r="B333" s="211" t="str">
        <f t="shared" si="15"/>
        <v>H_g</v>
      </c>
      <c r="C333" s="149">
        <v>122</v>
      </c>
      <c r="D333" s="149" t="s">
        <v>2957</v>
      </c>
      <c r="O333" s="943" t="str">
        <f>SUBSTITUTE(O331,"55/45","35/28")</f>
        <v>WP Wasser 35/28°C + E-Hzg.</v>
      </c>
      <c r="P333" s="192"/>
      <c r="Q333" s="204"/>
      <c r="R333" s="187"/>
      <c r="S333" s="187"/>
      <c r="T333" s="187"/>
      <c r="U333" s="187"/>
      <c r="V333" s="206" t="s">
        <v>539</v>
      </c>
    </row>
    <row r="334" spans="1:22" s="149" customFormat="1" hidden="1">
      <c r="A334" s="149" t="str">
        <f t="shared" si="16"/>
        <v>H_g#131</v>
      </c>
      <c r="B334" s="211" t="str">
        <f t="shared" si="15"/>
        <v>H_g</v>
      </c>
      <c r="C334" s="149">
        <v>131</v>
      </c>
      <c r="D334" s="149" t="s">
        <v>2959</v>
      </c>
      <c r="O334" s="944" t="str">
        <f>SUBSTITUTE(O330,"Wasser","Sole")</f>
        <v>WP Sole 55/45°C monov.</v>
      </c>
      <c r="P334" s="192"/>
      <c r="Q334" s="187"/>
      <c r="R334" s="187"/>
      <c r="S334" s="187"/>
      <c r="T334" s="187"/>
      <c r="U334" s="187"/>
      <c r="V334" s="206" t="s">
        <v>540</v>
      </c>
    </row>
    <row r="335" spans="1:22" s="149" customFormat="1" hidden="1">
      <c r="A335" s="149" t="str">
        <f t="shared" si="16"/>
        <v>H_g#132</v>
      </c>
      <c r="B335" s="211" t="str">
        <f t="shared" si="15"/>
        <v>H_g</v>
      </c>
      <c r="C335" s="149">
        <v>132</v>
      </c>
      <c r="D335" s="149" t="s">
        <v>2960</v>
      </c>
      <c r="O335" s="944" t="str">
        <f>SUBSTITUTE(O331,"Wasser","Sole")</f>
        <v>WP Sole 55/45°C + E-Hzg.</v>
      </c>
      <c r="P335" s="192"/>
      <c r="Q335" s="204"/>
      <c r="R335" s="187"/>
      <c r="S335" s="187"/>
      <c r="T335" s="187"/>
      <c r="U335" s="187"/>
      <c r="V335" s="206" t="s">
        <v>541</v>
      </c>
    </row>
    <row r="336" spans="1:22" s="149" customFormat="1" hidden="1">
      <c r="A336" s="149" t="str">
        <f t="shared" si="16"/>
        <v>H_g#141</v>
      </c>
      <c r="B336" s="211" t="str">
        <f t="shared" si="15"/>
        <v>H_g</v>
      </c>
      <c r="C336" s="149">
        <v>141</v>
      </c>
      <c r="D336" s="149" t="s">
        <v>2961</v>
      </c>
      <c r="O336" s="944" t="str">
        <f>SUBSTITUTE(O332,"Wasser","Sole")</f>
        <v>WP Sole 35/28°C monov.</v>
      </c>
      <c r="P336" s="192"/>
      <c r="Q336" s="187"/>
      <c r="R336" s="187"/>
      <c r="S336" s="187"/>
      <c r="T336" s="187"/>
      <c r="U336" s="187"/>
      <c r="V336" s="339" t="s">
        <v>542</v>
      </c>
    </row>
    <row r="337" spans="1:22" s="149" customFormat="1" hidden="1">
      <c r="A337" s="149" t="str">
        <f t="shared" si="16"/>
        <v>H_g#142</v>
      </c>
      <c r="B337" s="211" t="str">
        <f t="shared" si="15"/>
        <v>H_g</v>
      </c>
      <c r="C337" s="149">
        <v>142</v>
      </c>
      <c r="D337" s="149" t="s">
        <v>2962</v>
      </c>
      <c r="O337" s="944" t="str">
        <f>SUBSTITUTE(O333,"Wasser","Sole")</f>
        <v>WP Sole 35/28°C + E-Hzg.</v>
      </c>
      <c r="P337" s="192"/>
      <c r="Q337" s="204"/>
      <c r="R337" s="187"/>
      <c r="S337" s="187"/>
      <c r="T337" s="187"/>
      <c r="U337" s="187"/>
      <c r="V337" s="206" t="s">
        <v>543</v>
      </c>
    </row>
    <row r="338" spans="1:22" s="149" customFormat="1" hidden="1">
      <c r="A338" s="149" t="str">
        <f t="shared" si="16"/>
        <v>H_g#151</v>
      </c>
      <c r="B338" s="211" t="str">
        <f t="shared" si="15"/>
        <v>H_g</v>
      </c>
      <c r="C338" s="149">
        <v>151</v>
      </c>
      <c r="D338" s="149" t="s">
        <v>2963</v>
      </c>
      <c r="O338" s="944" t="str">
        <f>SUBSTITUTE(O330,"Wasser","Luft")</f>
        <v>WP Luft 55/45°C monov.</v>
      </c>
      <c r="P338" s="192"/>
      <c r="Q338" s="187"/>
      <c r="R338" s="187"/>
      <c r="S338" s="187"/>
      <c r="T338" s="187"/>
      <c r="U338" s="187"/>
      <c r="V338" s="206" t="s">
        <v>544</v>
      </c>
    </row>
    <row r="339" spans="1:22" s="149" customFormat="1" hidden="1">
      <c r="A339" s="149" t="str">
        <f t="shared" si="16"/>
        <v>H_g#152</v>
      </c>
      <c r="B339" s="211" t="str">
        <f t="shared" si="15"/>
        <v>H_g</v>
      </c>
      <c r="C339" s="149">
        <v>152</v>
      </c>
      <c r="D339" s="149" t="s">
        <v>2964</v>
      </c>
      <c r="O339" s="944" t="str">
        <f>SUBSTITUTE(O331,"Wasser","Luft")</f>
        <v>WP Luft 55/45°C + E-Hzg.</v>
      </c>
      <c r="P339" s="192"/>
      <c r="Q339" s="204"/>
      <c r="R339" s="187"/>
      <c r="S339" s="187"/>
      <c r="T339" s="187"/>
      <c r="U339" s="187"/>
      <c r="V339" s="206" t="s">
        <v>545</v>
      </c>
    </row>
    <row r="340" spans="1:22" s="149" customFormat="1" hidden="1">
      <c r="A340" s="149" t="str">
        <f t="shared" si="16"/>
        <v>H_g#161</v>
      </c>
      <c r="B340" s="211" t="str">
        <f t="shared" si="15"/>
        <v>H_g</v>
      </c>
      <c r="C340" s="149">
        <v>161</v>
      </c>
      <c r="D340" s="149" t="s">
        <v>2965</v>
      </c>
      <c r="O340" s="944" t="str">
        <f>SUBSTITUTE(O332,"Wasser","Luft")</f>
        <v>WP Luft 35/28°C monov.</v>
      </c>
      <c r="P340" s="192"/>
      <c r="Q340" s="187"/>
      <c r="R340" s="187"/>
      <c r="S340" s="187"/>
      <c r="T340" s="187"/>
      <c r="U340" s="187"/>
      <c r="V340" s="339" t="s">
        <v>546</v>
      </c>
    </row>
    <row r="341" spans="1:22" s="149" customFormat="1" hidden="1">
      <c r="A341" s="149" t="str">
        <f t="shared" si="16"/>
        <v>H_g#162</v>
      </c>
      <c r="B341" s="211" t="str">
        <f t="shared" si="15"/>
        <v>H_g</v>
      </c>
      <c r="C341" s="149">
        <v>162</v>
      </c>
      <c r="D341" s="149" t="s">
        <v>2966</v>
      </c>
      <c r="O341" s="944" t="str">
        <f>SUBSTITUTE(O333,"Wasser","Luft")</f>
        <v>WP Luft 35/28°C + E-Hzg.</v>
      </c>
      <c r="P341" s="192"/>
      <c r="Q341" s="204"/>
      <c r="R341" s="187"/>
      <c r="S341" s="187"/>
      <c r="T341" s="187"/>
      <c r="U341" s="187"/>
      <c r="V341" s="206" t="s">
        <v>547</v>
      </c>
    </row>
    <row r="342" spans="1:22" s="149" customFormat="1" hidden="1">
      <c r="A342" s="149" t="str">
        <f t="shared" si="16"/>
        <v>H_g#171</v>
      </c>
      <c r="B342" s="211" t="str">
        <f t="shared" si="15"/>
        <v>H_g</v>
      </c>
      <c r="C342" s="149">
        <v>171</v>
      </c>
      <c r="D342" s="149" t="s">
        <v>2967</v>
      </c>
      <c r="O342" s="944" t="str">
        <f>SUBSTITUTE(O330,"Wasser","Abluft")</f>
        <v>WP Abluft 55/45°C monov.</v>
      </c>
      <c r="P342" s="192"/>
      <c r="Q342" s="187"/>
      <c r="R342" s="187"/>
      <c r="S342" s="187"/>
      <c r="T342" s="187"/>
      <c r="U342" s="187"/>
      <c r="V342" s="206" t="s">
        <v>548</v>
      </c>
    </row>
    <row r="343" spans="1:22" s="149" customFormat="1" hidden="1">
      <c r="A343" s="149" t="str">
        <f t="shared" si="16"/>
        <v>H_g#172</v>
      </c>
      <c r="B343" s="211" t="str">
        <f t="shared" si="15"/>
        <v>H_g</v>
      </c>
      <c r="C343" s="149">
        <v>172</v>
      </c>
      <c r="D343" s="149" t="s">
        <v>2968</v>
      </c>
      <c r="O343" s="944" t="str">
        <f>SUBSTITUTE(O331,"Wasser","Abluft")</f>
        <v>WP Abluft 55/45°C + E-Hzg.</v>
      </c>
      <c r="P343" s="192"/>
      <c r="Q343" s="204"/>
      <c r="R343" s="187"/>
      <c r="S343" s="187"/>
      <c r="T343" s="187"/>
      <c r="U343" s="187"/>
      <c r="V343" s="206" t="s">
        <v>549</v>
      </c>
    </row>
    <row r="344" spans="1:22" s="149" customFormat="1" hidden="1">
      <c r="A344" s="149" t="str">
        <f t="shared" ref="A344:A376" si="17">B344&amp;"#"&amp;C344</f>
        <v>H_g#181</v>
      </c>
      <c r="B344" s="211" t="str">
        <f t="shared" si="15"/>
        <v>H_g</v>
      </c>
      <c r="C344" s="149">
        <v>181</v>
      </c>
      <c r="D344" s="149" t="s">
        <v>2969</v>
      </c>
      <c r="O344" s="944" t="str">
        <f>SUBSTITUTE(O332,"Wasser","Abluft")</f>
        <v>WP Abluft 35/28°C monov.</v>
      </c>
      <c r="P344" s="192"/>
      <c r="Q344" s="187"/>
      <c r="R344" s="187"/>
      <c r="S344" s="187"/>
      <c r="T344" s="187"/>
      <c r="U344" s="187"/>
      <c r="V344" s="206" t="s">
        <v>550</v>
      </c>
    </row>
    <row r="345" spans="1:22" s="149" customFormat="1" hidden="1">
      <c r="A345" s="149" t="str">
        <f>B345&amp;"#"&amp;C345</f>
        <v>H_g#182</v>
      </c>
      <c r="B345" s="211" t="str">
        <f>B343</f>
        <v>H_g</v>
      </c>
      <c r="C345" s="149">
        <v>182</v>
      </c>
      <c r="D345" s="149" t="s">
        <v>2970</v>
      </c>
      <c r="O345" s="944" t="str">
        <f>SUBSTITUTE(O333,"Wasser","Abluft")</f>
        <v>WP Abluft 35/28°C + E-Hzg.</v>
      </c>
      <c r="P345" s="192"/>
      <c r="Q345" s="204"/>
      <c r="R345" s="187"/>
      <c r="S345" s="187"/>
      <c r="T345" s="187"/>
      <c r="U345" s="187"/>
      <c r="V345" s="206" t="s">
        <v>551</v>
      </c>
    </row>
    <row r="346" spans="1:22" s="896" customFormat="1" hidden="1">
      <c r="A346" s="896" t="str">
        <f t="shared" si="17"/>
        <v>H_g#200</v>
      </c>
      <c r="B346" s="900" t="str">
        <f>B344</f>
        <v>H_g</v>
      </c>
      <c r="C346" s="896">
        <v>200</v>
      </c>
      <c r="D346" s="896" t="s">
        <v>2878</v>
      </c>
      <c r="O346" s="901" t="str">
        <f t="shared" ref="O346:O409" si="18">D346</f>
        <v>Biomasse (Pellet)</v>
      </c>
      <c r="P346" s="901"/>
      <c r="Q346" s="901"/>
      <c r="R346" s="901"/>
      <c r="S346" s="901"/>
      <c r="T346" s="901"/>
      <c r="U346" s="901"/>
      <c r="V346" s="896" t="str">
        <f>D346</f>
        <v>Biomasse (Pellet)</v>
      </c>
    </row>
    <row r="347" spans="1:22" s="149" customFormat="1" hidden="1">
      <c r="A347" s="149" t="str">
        <f t="shared" si="17"/>
        <v>L_c#0</v>
      </c>
      <c r="B347" s="210" t="s">
        <v>424</v>
      </c>
      <c r="C347" s="149">
        <v>0</v>
      </c>
      <c r="D347" s="205" t="s">
        <v>2385</v>
      </c>
      <c r="O347" s="187" t="str">
        <f t="shared" si="18"/>
        <v>- (keine Lüftungsanlage)</v>
      </c>
      <c r="P347" s="187"/>
      <c r="Q347" s="187"/>
      <c r="R347" s="187"/>
      <c r="S347" s="187"/>
      <c r="T347" s="187"/>
      <c r="U347" s="187"/>
      <c r="V347" s="206" t="s">
        <v>428</v>
      </c>
    </row>
    <row r="348" spans="1:22" s="149" customFormat="1" hidden="1">
      <c r="A348" s="149" t="str">
        <f t="shared" si="17"/>
        <v>L_c#1</v>
      </c>
      <c r="B348" s="211" t="str">
        <f t="shared" ref="B348:B354" si="19">B347</f>
        <v>L_c</v>
      </c>
      <c r="C348" s="149">
        <v>1</v>
      </c>
      <c r="D348" s="207" t="s">
        <v>552</v>
      </c>
      <c r="O348" s="187" t="str">
        <f t="shared" si="18"/>
        <v>Luftauslässe Außenwand - mit Einzelraumregelung</v>
      </c>
      <c r="P348" s="187"/>
      <c r="Q348" s="187"/>
      <c r="R348" s="187"/>
      <c r="S348" s="187"/>
      <c r="T348" s="187"/>
      <c r="U348" s="187"/>
      <c r="V348" s="206" t="s">
        <v>552</v>
      </c>
    </row>
    <row r="349" spans="1:22" s="149" customFormat="1" hidden="1">
      <c r="A349" s="149" t="str">
        <f t="shared" si="17"/>
        <v>L_c#2</v>
      </c>
      <c r="B349" s="211" t="str">
        <f t="shared" si="19"/>
        <v>L_c</v>
      </c>
      <c r="C349" s="149">
        <v>2</v>
      </c>
      <c r="D349" s="207" t="s">
        <v>553</v>
      </c>
      <c r="O349" s="187" t="str">
        <f t="shared" si="18"/>
        <v>Luftauslässe Außenwand - mit zentraler Vorregelung</v>
      </c>
      <c r="P349" s="187"/>
      <c r="Q349" s="187"/>
      <c r="R349" s="187"/>
      <c r="S349" s="187"/>
      <c r="T349" s="187"/>
      <c r="U349" s="187"/>
      <c r="V349" s="206" t="s">
        <v>553</v>
      </c>
    </row>
    <row r="350" spans="1:22" s="149" customFormat="1" hidden="1">
      <c r="A350" s="149" t="str">
        <f t="shared" si="17"/>
        <v>L_c#3</v>
      </c>
      <c r="B350" s="211" t="str">
        <f t="shared" si="19"/>
        <v>L_c</v>
      </c>
      <c r="C350" s="149">
        <v>3</v>
      </c>
      <c r="D350" s="207" t="s">
        <v>554</v>
      </c>
      <c r="O350" s="187" t="str">
        <f t="shared" si="18"/>
        <v>Luftauslässe Außenwand - ohne zentraler Vorregelung</v>
      </c>
      <c r="P350" s="187"/>
      <c r="Q350" s="187"/>
      <c r="R350" s="187"/>
      <c r="S350" s="187"/>
      <c r="T350" s="187"/>
      <c r="U350" s="187"/>
      <c r="V350" s="206" t="s">
        <v>554</v>
      </c>
    </row>
    <row r="351" spans="1:22" s="149" customFormat="1" hidden="1">
      <c r="A351" s="149" t="str">
        <f t="shared" si="17"/>
        <v>L_c#4</v>
      </c>
      <c r="B351" s="211" t="str">
        <f t="shared" si="19"/>
        <v>L_c</v>
      </c>
      <c r="C351" s="149">
        <v>4</v>
      </c>
      <c r="D351" s="207" t="s">
        <v>555</v>
      </c>
      <c r="O351" s="187" t="str">
        <f t="shared" si="18"/>
        <v>Luftauslässe Innenwand - mit Einzelraumregelung</v>
      </c>
      <c r="P351" s="187"/>
      <c r="Q351" s="187"/>
      <c r="R351" s="187"/>
      <c r="S351" s="187"/>
      <c r="T351" s="187"/>
      <c r="U351" s="187"/>
      <c r="V351" s="206" t="s">
        <v>555</v>
      </c>
    </row>
    <row r="352" spans="1:22" s="149" customFormat="1" hidden="1">
      <c r="A352" s="149" t="str">
        <f t="shared" si="17"/>
        <v>L_c#5</v>
      </c>
      <c r="B352" s="211" t="str">
        <f t="shared" si="19"/>
        <v>L_c</v>
      </c>
      <c r="C352" s="149">
        <v>5</v>
      </c>
      <c r="D352" s="207" t="s">
        <v>556</v>
      </c>
      <c r="O352" s="187" t="str">
        <f t="shared" si="18"/>
        <v>Luftauslässe Innenwand - mit zentraler Vorregelung</v>
      </c>
      <c r="P352" s="187"/>
      <c r="Q352" s="187"/>
      <c r="R352" s="187"/>
      <c r="S352" s="187"/>
      <c r="T352" s="187"/>
      <c r="U352" s="187"/>
      <c r="V352" s="206" t="s">
        <v>556</v>
      </c>
    </row>
    <row r="353" spans="1:22" s="149" customFormat="1" hidden="1">
      <c r="A353" s="149" t="str">
        <f t="shared" si="17"/>
        <v>L_c#6</v>
      </c>
      <c r="B353" s="211" t="str">
        <f t="shared" si="19"/>
        <v>L_c</v>
      </c>
      <c r="C353" s="149">
        <v>6</v>
      </c>
      <c r="D353" s="207" t="s">
        <v>557</v>
      </c>
      <c r="O353" s="187" t="str">
        <f t="shared" si="18"/>
        <v>Luftauslässe Innenwand - ohne zentraler Vorregelung</v>
      </c>
      <c r="P353" s="187"/>
      <c r="Q353" s="187"/>
      <c r="R353" s="187"/>
      <c r="S353" s="187"/>
      <c r="T353" s="187"/>
      <c r="U353" s="187"/>
      <c r="V353" s="206" t="s">
        <v>557</v>
      </c>
    </row>
    <row r="354" spans="1:22" s="149" customFormat="1" hidden="1">
      <c r="A354" s="149" t="str">
        <f t="shared" si="17"/>
        <v>L_c#7</v>
      </c>
      <c r="B354" s="212" t="str">
        <f t="shared" si="19"/>
        <v>L_c</v>
      </c>
      <c r="C354" s="149">
        <v>7</v>
      </c>
      <c r="D354" s="149" t="s">
        <v>669</v>
      </c>
      <c r="O354" s="187" t="str">
        <f t="shared" si="18"/>
        <v>Lufttemperaturen &lt; 20°C</v>
      </c>
      <c r="P354" s="187"/>
      <c r="Q354" s="187"/>
      <c r="R354" s="187"/>
      <c r="S354" s="187"/>
      <c r="T354" s="187"/>
      <c r="U354" s="187"/>
      <c r="V354" s="206" t="s">
        <v>558</v>
      </c>
    </row>
    <row r="355" spans="1:22" s="149" customFormat="1" hidden="1">
      <c r="A355" s="149" t="str">
        <f t="shared" si="17"/>
        <v>L_d#0</v>
      </c>
      <c r="B355" s="210" t="s">
        <v>425</v>
      </c>
      <c r="C355" s="149">
        <v>0</v>
      </c>
      <c r="D355" s="205" t="s">
        <v>367</v>
      </c>
      <c r="O355" s="187" t="str">
        <f t="shared" si="18"/>
        <v>-</v>
      </c>
      <c r="P355" s="187"/>
      <c r="Q355" s="187"/>
      <c r="R355" s="187"/>
      <c r="S355" s="187"/>
      <c r="T355" s="187"/>
      <c r="U355" s="187"/>
      <c r="V355" s="206" t="s">
        <v>428</v>
      </c>
    </row>
    <row r="356" spans="1:22" s="149" customFormat="1" hidden="1">
      <c r="A356" s="149" t="str">
        <f t="shared" si="17"/>
        <v>L_d#11</v>
      </c>
      <c r="B356" s="211" t="str">
        <f t="shared" ref="B356:B376" si="20">B355</f>
        <v>L_d</v>
      </c>
      <c r="C356" s="149">
        <v>11</v>
      </c>
      <c r="D356" s="207" t="s">
        <v>559</v>
      </c>
      <c r="O356" s="187" t="str">
        <f t="shared" si="18"/>
        <v>Verteil UNbeheizt Dach, WRG durch WÜT 60%</v>
      </c>
      <c r="P356" s="187"/>
      <c r="Q356" s="187"/>
      <c r="R356" s="187"/>
      <c r="S356" s="187"/>
      <c r="T356" s="187"/>
      <c r="U356" s="187"/>
      <c r="V356" s="206" t="s">
        <v>559</v>
      </c>
    </row>
    <row r="357" spans="1:22" s="149" customFormat="1" hidden="1">
      <c r="A357" s="149" t="str">
        <f t="shared" si="17"/>
        <v>L_d#12</v>
      </c>
      <c r="B357" s="211" t="str">
        <f t="shared" si="20"/>
        <v>L_d</v>
      </c>
      <c r="C357" s="149">
        <v>12</v>
      </c>
      <c r="D357" s="207" t="s">
        <v>560</v>
      </c>
      <c r="O357" s="187" t="str">
        <f t="shared" si="18"/>
        <v>Verteil UNbeheizt Dach, WRG durch WÜT 80%</v>
      </c>
      <c r="P357" s="187"/>
      <c r="Q357" s="187"/>
      <c r="R357" s="187"/>
      <c r="S357" s="187"/>
      <c r="T357" s="187"/>
      <c r="U357" s="187"/>
      <c r="V357" s="206" t="s">
        <v>560</v>
      </c>
    </row>
    <row r="358" spans="1:22" s="149" customFormat="1" hidden="1">
      <c r="A358" s="149" t="str">
        <f t="shared" si="17"/>
        <v>L_d#13</v>
      </c>
      <c r="B358" s="211" t="str">
        <f t="shared" si="20"/>
        <v>L_d</v>
      </c>
      <c r="C358" s="149">
        <v>13</v>
      </c>
      <c r="D358" s="207" t="s">
        <v>561</v>
      </c>
      <c r="O358" s="187" t="str">
        <f t="shared" si="18"/>
        <v>Verteil UNbeheizt Dach, Z/A-WP ohne WÜT AC</v>
      </c>
      <c r="P358" s="187"/>
      <c r="Q358" s="187"/>
      <c r="R358" s="187"/>
      <c r="S358" s="187"/>
      <c r="T358" s="187"/>
      <c r="U358" s="187"/>
      <c r="V358" s="206" t="s">
        <v>561</v>
      </c>
    </row>
    <row r="359" spans="1:22" s="149" customFormat="1" hidden="1">
      <c r="A359" s="149" t="str">
        <f t="shared" si="17"/>
        <v>L_d#14</v>
      </c>
      <c r="B359" s="211" t="str">
        <f t="shared" si="20"/>
        <v>L_d</v>
      </c>
      <c r="C359" s="149">
        <v>14</v>
      </c>
      <c r="D359" s="207" t="s">
        <v>562</v>
      </c>
      <c r="O359" s="187" t="str">
        <f t="shared" si="18"/>
        <v>Verteil UNbeheizt Dach, Z/A-WP 60% AC</v>
      </c>
      <c r="P359" s="187"/>
      <c r="Q359" s="187"/>
      <c r="R359" s="187"/>
      <c r="S359" s="187"/>
      <c r="T359" s="187"/>
      <c r="U359" s="187"/>
      <c r="V359" s="206" t="s">
        <v>562</v>
      </c>
    </row>
    <row r="360" spans="1:22" s="149" customFormat="1" hidden="1">
      <c r="A360" s="149" t="str">
        <f t="shared" si="17"/>
        <v>L_d#15</v>
      </c>
      <c r="B360" s="211" t="str">
        <f t="shared" si="20"/>
        <v>L_d</v>
      </c>
      <c r="C360" s="149">
        <v>15</v>
      </c>
      <c r="D360" s="207" t="s">
        <v>563</v>
      </c>
      <c r="O360" s="187" t="str">
        <f t="shared" si="18"/>
        <v>Verteil UNbeheizt Dach, Z/A-WP 60% DC</v>
      </c>
      <c r="P360" s="187"/>
      <c r="Q360" s="187"/>
      <c r="R360" s="187"/>
      <c r="S360" s="187"/>
      <c r="T360" s="187"/>
      <c r="U360" s="187"/>
      <c r="V360" s="206" t="s">
        <v>563</v>
      </c>
    </row>
    <row r="361" spans="1:22" s="149" customFormat="1" hidden="1">
      <c r="A361" s="149" t="str">
        <f t="shared" si="17"/>
        <v>L_d#16</v>
      </c>
      <c r="B361" s="211" t="str">
        <f t="shared" si="20"/>
        <v>L_d</v>
      </c>
      <c r="C361" s="149">
        <v>16</v>
      </c>
      <c r="D361" s="207" t="s">
        <v>564</v>
      </c>
      <c r="O361" s="187" t="str">
        <f t="shared" si="18"/>
        <v>Verteil UNbeheizt Dach, Heizregister 35°</v>
      </c>
      <c r="P361" s="187"/>
      <c r="Q361" s="187"/>
      <c r="R361" s="187"/>
      <c r="S361" s="187"/>
      <c r="T361" s="187"/>
      <c r="U361" s="187"/>
      <c r="V361" s="206" t="s">
        <v>564</v>
      </c>
    </row>
    <row r="362" spans="1:22" s="149" customFormat="1" hidden="1">
      <c r="A362" s="149" t="str">
        <f t="shared" si="17"/>
        <v>L_d#17</v>
      </c>
      <c r="B362" s="211" t="str">
        <f t="shared" si="20"/>
        <v>L_d</v>
      </c>
      <c r="C362" s="149">
        <v>17</v>
      </c>
      <c r="D362" s="207" t="s">
        <v>565</v>
      </c>
      <c r="O362" s="187" t="str">
        <f t="shared" si="18"/>
        <v>Verteil UNbeheizt Dach, Heizregister 45°</v>
      </c>
      <c r="P362" s="187"/>
      <c r="Q362" s="187"/>
      <c r="R362" s="187"/>
      <c r="S362" s="187"/>
      <c r="T362" s="187"/>
      <c r="U362" s="187"/>
      <c r="V362" s="206" t="s">
        <v>565</v>
      </c>
    </row>
    <row r="363" spans="1:22" s="149" customFormat="1" hidden="1">
      <c r="A363" s="149" t="str">
        <f t="shared" si="17"/>
        <v>L_d#21</v>
      </c>
      <c r="B363" s="211" t="str">
        <f t="shared" si="20"/>
        <v>L_d</v>
      </c>
      <c r="C363" s="149">
        <v>21</v>
      </c>
      <c r="D363" s="207" t="s">
        <v>566</v>
      </c>
      <c r="O363" s="187" t="str">
        <f t="shared" si="18"/>
        <v>Verteil UNbeheizt Keller, WRG durch WÜT 60%</v>
      </c>
      <c r="P363" s="187"/>
      <c r="Q363" s="187"/>
      <c r="R363" s="187"/>
      <c r="S363" s="187"/>
      <c r="T363" s="187"/>
      <c r="U363" s="187"/>
      <c r="V363" s="206" t="s">
        <v>566</v>
      </c>
    </row>
    <row r="364" spans="1:22" s="149" customFormat="1" hidden="1">
      <c r="A364" s="149" t="str">
        <f t="shared" si="17"/>
        <v>L_d#22</v>
      </c>
      <c r="B364" s="211" t="str">
        <f t="shared" si="20"/>
        <v>L_d</v>
      </c>
      <c r="C364" s="149">
        <v>22</v>
      </c>
      <c r="D364" s="207" t="s">
        <v>567</v>
      </c>
      <c r="O364" s="187" t="str">
        <f t="shared" si="18"/>
        <v>Verteil UNbeheizt Keller, WRG durch WÜT 80%</v>
      </c>
      <c r="P364" s="187"/>
      <c r="Q364" s="187"/>
      <c r="R364" s="187"/>
      <c r="S364" s="187"/>
      <c r="T364" s="187"/>
      <c r="U364" s="187"/>
      <c r="V364" s="206" t="s">
        <v>567</v>
      </c>
    </row>
    <row r="365" spans="1:22" s="149" customFormat="1" hidden="1">
      <c r="A365" s="149" t="str">
        <f t="shared" si="17"/>
        <v>L_d#23</v>
      </c>
      <c r="B365" s="211" t="str">
        <f t="shared" si="20"/>
        <v>L_d</v>
      </c>
      <c r="C365" s="149">
        <v>23</v>
      </c>
      <c r="D365" s="207" t="s">
        <v>568</v>
      </c>
      <c r="O365" s="187" t="str">
        <f t="shared" si="18"/>
        <v>Verteil UNbeheizt Keller, Z/A-WP ohne WÜT AC</v>
      </c>
      <c r="P365" s="187"/>
      <c r="Q365" s="187"/>
      <c r="R365" s="187"/>
      <c r="S365" s="187"/>
      <c r="T365" s="187"/>
      <c r="U365" s="187"/>
      <c r="V365" s="206" t="s">
        <v>568</v>
      </c>
    </row>
    <row r="366" spans="1:22" s="149" customFormat="1" hidden="1">
      <c r="A366" s="149" t="str">
        <f t="shared" si="17"/>
        <v>L_d#24</v>
      </c>
      <c r="B366" s="211" t="str">
        <f t="shared" si="20"/>
        <v>L_d</v>
      </c>
      <c r="C366" s="149">
        <v>24</v>
      </c>
      <c r="D366" s="207" t="s">
        <v>569</v>
      </c>
      <c r="O366" s="187" t="str">
        <f t="shared" si="18"/>
        <v>Verteil UNbeheizt Keller, Z/A-WP 60% AC</v>
      </c>
      <c r="P366" s="187"/>
      <c r="Q366" s="187"/>
      <c r="R366" s="187"/>
      <c r="S366" s="187"/>
      <c r="T366" s="187"/>
      <c r="U366" s="187"/>
      <c r="V366" s="206" t="s">
        <v>569</v>
      </c>
    </row>
    <row r="367" spans="1:22" s="149" customFormat="1" hidden="1">
      <c r="A367" s="149" t="str">
        <f t="shared" si="17"/>
        <v>L_d#25</v>
      </c>
      <c r="B367" s="211" t="str">
        <f t="shared" si="20"/>
        <v>L_d</v>
      </c>
      <c r="C367" s="149">
        <v>25</v>
      </c>
      <c r="D367" s="207" t="s">
        <v>570</v>
      </c>
      <c r="O367" s="187" t="str">
        <f t="shared" si="18"/>
        <v>Verteil UNbeheizt Keller, Z/A-WP 60% DC</v>
      </c>
      <c r="P367" s="187"/>
      <c r="Q367" s="187"/>
      <c r="R367" s="187"/>
      <c r="S367" s="187"/>
      <c r="T367" s="187"/>
      <c r="U367" s="187"/>
      <c r="V367" s="206" t="s">
        <v>570</v>
      </c>
    </row>
    <row r="368" spans="1:22" s="149" customFormat="1" hidden="1">
      <c r="A368" s="149" t="str">
        <f t="shared" si="17"/>
        <v>L_d#26</v>
      </c>
      <c r="B368" s="211" t="str">
        <f t="shared" si="20"/>
        <v>L_d</v>
      </c>
      <c r="C368" s="149">
        <v>26</v>
      </c>
      <c r="D368" s="207" t="s">
        <v>571</v>
      </c>
      <c r="O368" s="187" t="str">
        <f t="shared" si="18"/>
        <v>Verteil UNbeheizt Keller, Heizregister 35°</v>
      </c>
      <c r="P368" s="187"/>
      <c r="Q368" s="187"/>
      <c r="R368" s="187"/>
      <c r="S368" s="187"/>
      <c r="T368" s="187"/>
      <c r="U368" s="187"/>
      <c r="V368" s="206" t="s">
        <v>571</v>
      </c>
    </row>
    <row r="369" spans="1:22" s="149" customFormat="1" hidden="1">
      <c r="A369" s="149" t="str">
        <f t="shared" si="17"/>
        <v>L_d#27</v>
      </c>
      <c r="B369" s="211" t="str">
        <f t="shared" si="20"/>
        <v>L_d</v>
      </c>
      <c r="C369" s="149">
        <v>27</v>
      </c>
      <c r="D369" s="207" t="s">
        <v>572</v>
      </c>
      <c r="O369" s="187" t="str">
        <f t="shared" si="18"/>
        <v>Verteil UNbeheizt Keller, Heizregister 45°</v>
      </c>
      <c r="P369" s="187"/>
      <c r="Q369" s="187"/>
      <c r="R369" s="187"/>
      <c r="S369" s="187"/>
      <c r="T369" s="187"/>
      <c r="U369" s="187"/>
      <c r="V369" s="206" t="s">
        <v>572</v>
      </c>
    </row>
    <row r="370" spans="1:22" s="149" customFormat="1" hidden="1">
      <c r="A370" s="149" t="str">
        <f t="shared" si="17"/>
        <v>L_d#31</v>
      </c>
      <c r="B370" s="211" t="str">
        <f t="shared" si="20"/>
        <v>L_d</v>
      </c>
      <c r="C370" s="149">
        <v>31</v>
      </c>
      <c r="D370" s="149" t="str">
        <f>J370&amp;K370</f>
        <v>beheizt, WRG durch WÜT</v>
      </c>
      <c r="J370" s="208" t="s">
        <v>674</v>
      </c>
      <c r="K370" s="208" t="s">
        <v>675</v>
      </c>
      <c r="L370" s="208"/>
      <c r="O370" s="187" t="str">
        <f t="shared" si="18"/>
        <v>beheizt, WRG durch WÜT</v>
      </c>
      <c r="P370" s="187"/>
      <c r="Q370" s="187"/>
      <c r="R370" s="187"/>
      <c r="S370" s="187"/>
      <c r="T370" s="187"/>
      <c r="U370" s="187"/>
      <c r="V370" s="206" t="s">
        <v>573</v>
      </c>
    </row>
    <row r="371" spans="1:22" s="149" customFormat="1" hidden="1">
      <c r="A371" s="149" t="str">
        <f t="shared" si="17"/>
        <v>L_d#32</v>
      </c>
      <c r="B371" s="211" t="str">
        <f t="shared" si="20"/>
        <v>L_d</v>
      </c>
      <c r="C371" s="149">
        <v>32</v>
      </c>
      <c r="D371" s="149" t="str">
        <f>J371&amp;K371</f>
        <v>beheizt, WRG durch WÜT</v>
      </c>
      <c r="J371" s="208" t="s">
        <v>674</v>
      </c>
      <c r="K371" s="208" t="s">
        <v>675</v>
      </c>
      <c r="L371" s="208"/>
      <c r="O371" s="187" t="str">
        <f t="shared" si="18"/>
        <v>beheizt, WRG durch WÜT</v>
      </c>
      <c r="P371" s="187"/>
      <c r="Q371" s="187"/>
      <c r="R371" s="187"/>
      <c r="S371" s="187"/>
      <c r="T371" s="187"/>
      <c r="U371" s="187"/>
      <c r="V371" s="206" t="s">
        <v>574</v>
      </c>
    </row>
    <row r="372" spans="1:22" s="149" customFormat="1" hidden="1">
      <c r="A372" s="149" t="str">
        <f t="shared" si="17"/>
        <v>L_d#33</v>
      </c>
      <c r="B372" s="211" t="str">
        <f t="shared" si="20"/>
        <v>L_d</v>
      </c>
      <c r="C372" s="149">
        <v>33</v>
      </c>
      <c r="D372" s="207" t="s">
        <v>575</v>
      </c>
      <c r="O372" s="187" t="str">
        <f t="shared" si="18"/>
        <v>Verteil beheizt, Z/A-WP ohne WÜT AC</v>
      </c>
      <c r="P372" s="187"/>
      <c r="Q372" s="187"/>
      <c r="R372" s="187"/>
      <c r="S372" s="187"/>
      <c r="T372" s="187"/>
      <c r="U372" s="187"/>
      <c r="V372" s="206" t="s">
        <v>575</v>
      </c>
    </row>
    <row r="373" spans="1:22" s="149" customFormat="1" hidden="1">
      <c r="A373" s="149" t="str">
        <f t="shared" si="17"/>
        <v>L_d#34</v>
      </c>
      <c r="B373" s="211" t="str">
        <f t="shared" si="20"/>
        <v>L_d</v>
      </c>
      <c r="C373" s="149">
        <v>34</v>
      </c>
      <c r="D373" s="207" t="s">
        <v>576</v>
      </c>
      <c r="O373" s="187" t="str">
        <f t="shared" si="18"/>
        <v>Verteil beheizt, Z/A-WP 60% AC</v>
      </c>
      <c r="P373" s="187"/>
      <c r="Q373" s="187"/>
      <c r="R373" s="187"/>
      <c r="S373" s="187"/>
      <c r="T373" s="187"/>
      <c r="U373" s="187"/>
      <c r="V373" s="206" t="s">
        <v>576</v>
      </c>
    </row>
    <row r="374" spans="1:22" s="149" customFormat="1" hidden="1">
      <c r="A374" s="149" t="str">
        <f t="shared" si="17"/>
        <v>L_d#35</v>
      </c>
      <c r="B374" s="211" t="str">
        <f t="shared" si="20"/>
        <v>L_d</v>
      </c>
      <c r="C374" s="149">
        <v>35</v>
      </c>
      <c r="D374" s="207" t="s">
        <v>577</v>
      </c>
      <c r="O374" s="187" t="str">
        <f t="shared" si="18"/>
        <v>Verteil beheizt, Z/A-WP 60% DC</v>
      </c>
      <c r="P374" s="187"/>
      <c r="Q374" s="187"/>
      <c r="R374" s="187"/>
      <c r="S374" s="187"/>
      <c r="T374" s="187"/>
      <c r="U374" s="187"/>
      <c r="V374" s="206" t="s">
        <v>577</v>
      </c>
    </row>
    <row r="375" spans="1:22" s="149" customFormat="1" hidden="1">
      <c r="A375" s="149" t="str">
        <f t="shared" si="17"/>
        <v>L_d#36</v>
      </c>
      <c r="B375" s="211" t="str">
        <f t="shared" si="20"/>
        <v>L_d</v>
      </c>
      <c r="C375" s="149">
        <v>36</v>
      </c>
      <c r="D375" s="207" t="s">
        <v>578</v>
      </c>
      <c r="O375" s="187" t="str">
        <f t="shared" si="18"/>
        <v>Verteil beheizt, Heizregister 35°</v>
      </c>
      <c r="P375" s="187"/>
      <c r="Q375" s="187"/>
      <c r="R375" s="187"/>
      <c r="S375" s="187"/>
      <c r="T375" s="187"/>
      <c r="U375" s="187"/>
      <c r="V375" s="206" t="s">
        <v>578</v>
      </c>
    </row>
    <row r="376" spans="1:22" s="149" customFormat="1" hidden="1">
      <c r="A376" s="149" t="str">
        <f t="shared" si="17"/>
        <v>L_d#37</v>
      </c>
      <c r="B376" s="212" t="str">
        <f t="shared" si="20"/>
        <v>L_d</v>
      </c>
      <c r="C376" s="149">
        <v>37</v>
      </c>
      <c r="D376" s="207" t="s">
        <v>579</v>
      </c>
      <c r="O376" s="187" t="str">
        <f t="shared" si="18"/>
        <v>Verteil beheizt, Heizregister 45°</v>
      </c>
      <c r="P376" s="187"/>
      <c r="Q376" s="187"/>
      <c r="R376" s="187"/>
      <c r="S376" s="187"/>
      <c r="T376" s="187"/>
      <c r="U376" s="187"/>
      <c r="V376" s="206" t="s">
        <v>579</v>
      </c>
    </row>
    <row r="377" spans="1:22" s="149" customFormat="1" hidden="1">
      <c r="A377" s="149" t="str">
        <f t="shared" ref="A377:A408" si="21">B377&amp;"#"&amp;C377</f>
        <v>L_g#0</v>
      </c>
      <c r="B377" s="210" t="s">
        <v>426</v>
      </c>
      <c r="C377" s="149">
        <v>0</v>
      </c>
      <c r="D377" s="205" t="s">
        <v>367</v>
      </c>
      <c r="O377" s="187" t="str">
        <f t="shared" si="18"/>
        <v>-</v>
      </c>
      <c r="P377" s="187"/>
      <c r="Q377" s="187"/>
      <c r="R377" s="187"/>
      <c r="S377" s="187"/>
      <c r="T377" s="187"/>
      <c r="U377" s="187"/>
      <c r="V377" s="206" t="s">
        <v>428</v>
      </c>
    </row>
    <row r="378" spans="1:22" s="149" customFormat="1" hidden="1">
      <c r="A378" s="149" t="str">
        <f t="shared" si="21"/>
        <v>L_g#11</v>
      </c>
      <c r="B378" s="211" t="str">
        <f t="shared" ref="B378:B403" si="22">B377</f>
        <v>L_g</v>
      </c>
      <c r="C378" s="149">
        <v>11</v>
      </c>
      <c r="D378" s="149" t="str">
        <f t="shared" ref="D378:D403" si="23">I378&amp;J378&amp;K378&amp;L378&amp;M378&amp;N378</f>
        <v>Abluft/Zuluft mit WRG 60%, Luftwechsel 0,4 1/h, zentral, AC-Ventilatoren</v>
      </c>
      <c r="I378" s="208" t="s">
        <v>676</v>
      </c>
      <c r="J378" s="209" t="s">
        <v>678</v>
      </c>
      <c r="K378" s="208" t="s">
        <v>680</v>
      </c>
      <c r="L378" s="208" t="s">
        <v>681</v>
      </c>
      <c r="M378" s="208" t="s">
        <v>682</v>
      </c>
      <c r="N378" s="208"/>
      <c r="O378" s="511" t="s">
        <v>2975</v>
      </c>
      <c r="P378" s="187"/>
      <c r="Q378" s="187"/>
      <c r="R378" s="187"/>
      <c r="S378" s="187"/>
      <c r="T378" s="187"/>
      <c r="U378" s="187"/>
      <c r="V378" s="206" t="s">
        <v>580</v>
      </c>
    </row>
    <row r="379" spans="1:22" s="149" customFormat="1" hidden="1">
      <c r="A379" s="149" t="str">
        <f t="shared" si="21"/>
        <v>L_g#12</v>
      </c>
      <c r="B379" s="211" t="str">
        <f t="shared" si="22"/>
        <v>L_g</v>
      </c>
      <c r="C379" s="149">
        <v>12</v>
      </c>
      <c r="D379" s="149" t="str">
        <f t="shared" si="23"/>
        <v>Abluft/Zuluft mit WRG 60%, Luftwechsel 0,4 1/h, zentral, DC-Ventilatoren</v>
      </c>
      <c r="I379" s="208" t="s">
        <v>676</v>
      </c>
      <c r="J379" s="209" t="s">
        <v>678</v>
      </c>
      <c r="K379" s="208" t="s">
        <v>680</v>
      </c>
      <c r="L379" s="208" t="s">
        <v>681</v>
      </c>
      <c r="M379" s="208" t="s">
        <v>683</v>
      </c>
      <c r="N379" s="208"/>
      <c r="O379" s="511" t="s">
        <v>2973</v>
      </c>
      <c r="P379" s="187"/>
      <c r="Q379" s="187"/>
      <c r="R379" s="187"/>
      <c r="S379" s="187"/>
      <c r="T379" s="187"/>
      <c r="U379" s="187"/>
      <c r="V379" s="206" t="s">
        <v>581</v>
      </c>
    </row>
    <row r="380" spans="1:22" s="149" customFormat="1" hidden="1">
      <c r="A380" s="149" t="str">
        <f t="shared" si="21"/>
        <v>L_g#13</v>
      </c>
      <c r="B380" s="211" t="str">
        <f t="shared" si="22"/>
        <v>L_g</v>
      </c>
      <c r="C380" s="149">
        <v>13</v>
      </c>
      <c r="D380" s="149" t="str">
        <f t="shared" si="23"/>
        <v>Abluft/Zuluft mit WRG 80%, Luftwechsel 0,4 1/h, zentral, DC-Ventilatoren</v>
      </c>
      <c r="I380" s="208" t="s">
        <v>676</v>
      </c>
      <c r="J380" s="209" t="s">
        <v>679</v>
      </c>
      <c r="K380" s="208" t="s">
        <v>680</v>
      </c>
      <c r="L380" s="208" t="s">
        <v>681</v>
      </c>
      <c r="M380" s="208" t="s">
        <v>683</v>
      </c>
      <c r="N380" s="208"/>
      <c r="O380" s="511" t="s">
        <v>2974</v>
      </c>
      <c r="P380" s="187"/>
      <c r="Q380" s="187"/>
      <c r="R380" s="187"/>
      <c r="S380" s="187"/>
      <c r="T380" s="187"/>
      <c r="U380" s="187"/>
      <c r="V380" s="206" t="s">
        <v>582</v>
      </c>
    </row>
    <row r="381" spans="1:22" s="149" customFormat="1" hidden="1">
      <c r="A381" s="149" t="str">
        <f t="shared" si="21"/>
        <v>L_g#14</v>
      </c>
      <c r="B381" s="211" t="str">
        <f t="shared" si="22"/>
        <v>L_g</v>
      </c>
      <c r="C381" s="149">
        <v>14</v>
      </c>
      <c r="D381" s="149" t="str">
        <f t="shared" si="23"/>
        <v>Abluft/Zuluft mit WRG 60%, Luftwechsel 0,4 1/h, zentral, AC-Ventilatoren</v>
      </c>
      <c r="I381" s="208" t="s">
        <v>676</v>
      </c>
      <c r="J381" s="209" t="s">
        <v>678</v>
      </c>
      <c r="K381" s="208" t="s">
        <v>680</v>
      </c>
      <c r="L381" s="208" t="s">
        <v>681</v>
      </c>
      <c r="M381" s="208" t="s">
        <v>682</v>
      </c>
      <c r="N381" s="208"/>
      <c r="O381" s="187" t="str">
        <f t="shared" si="18"/>
        <v>Abluft/Zuluft mit WRG 60%, Luftwechsel 0,4 1/h, zentral, AC-Ventilatoren</v>
      </c>
      <c r="P381" s="187"/>
      <c r="Q381" s="187"/>
      <c r="R381" s="187"/>
      <c r="S381" s="187"/>
      <c r="T381" s="187"/>
      <c r="U381" s="187"/>
      <c r="V381" s="206" t="s">
        <v>583</v>
      </c>
    </row>
    <row r="382" spans="1:22" s="149" customFormat="1" hidden="1">
      <c r="A382" s="149" t="str">
        <f t="shared" si="21"/>
        <v>L_g#15</v>
      </c>
      <c r="B382" s="211" t="str">
        <f t="shared" si="22"/>
        <v>L_g</v>
      </c>
      <c r="C382" s="149">
        <v>15</v>
      </c>
      <c r="D382" s="149" t="str">
        <f t="shared" si="23"/>
        <v>Abluft/Zuluft mit WRG 60%, Luftwechsel 0,4 1/h, zentral, DC-Ventilatoren</v>
      </c>
      <c r="I382" s="208" t="s">
        <v>676</v>
      </c>
      <c r="J382" s="209" t="s">
        <v>678</v>
      </c>
      <c r="K382" s="208" t="s">
        <v>680</v>
      </c>
      <c r="L382" s="208" t="s">
        <v>681</v>
      </c>
      <c r="M382" s="208" t="s">
        <v>683</v>
      </c>
      <c r="N382" s="208"/>
      <c r="O382" s="187" t="str">
        <f t="shared" si="18"/>
        <v>Abluft/Zuluft mit WRG 60%, Luftwechsel 0,4 1/h, zentral, DC-Ventilatoren</v>
      </c>
      <c r="P382" s="187"/>
      <c r="Q382" s="187"/>
      <c r="R382" s="187"/>
      <c r="S382" s="187"/>
      <c r="T382" s="187"/>
      <c r="U382" s="187"/>
      <c r="V382" s="206" t="s">
        <v>584</v>
      </c>
    </row>
    <row r="383" spans="1:22" s="149" customFormat="1" hidden="1">
      <c r="A383" s="149" t="str">
        <f t="shared" si="21"/>
        <v>L_g#16</v>
      </c>
      <c r="B383" s="211" t="str">
        <f t="shared" si="22"/>
        <v>L_g</v>
      </c>
      <c r="C383" s="149">
        <v>16</v>
      </c>
      <c r="D383" s="149" t="str">
        <f t="shared" si="23"/>
        <v>Abluft/Zuluft mit WRG 80%, Luftwechsel 0,4 1/h, zentral, AC-Ventilatoren</v>
      </c>
      <c r="I383" s="208" t="s">
        <v>676</v>
      </c>
      <c r="J383" s="209" t="s">
        <v>679</v>
      </c>
      <c r="K383" s="208" t="s">
        <v>680</v>
      </c>
      <c r="L383" s="208" t="s">
        <v>681</v>
      </c>
      <c r="M383" s="208" t="s">
        <v>682</v>
      </c>
      <c r="N383" s="208"/>
      <c r="O383" s="187" t="str">
        <f t="shared" si="18"/>
        <v>Abluft/Zuluft mit WRG 80%, Luftwechsel 0,4 1/h, zentral, AC-Ventilatoren</v>
      </c>
      <c r="P383" s="187"/>
      <c r="Q383" s="187"/>
      <c r="R383" s="187"/>
      <c r="S383" s="187"/>
      <c r="T383" s="187"/>
      <c r="U383" s="187"/>
      <c r="V383" s="206" t="s">
        <v>585</v>
      </c>
    </row>
    <row r="384" spans="1:22" s="149" customFormat="1" hidden="1">
      <c r="A384" s="149" t="str">
        <f t="shared" si="21"/>
        <v>L_g#17</v>
      </c>
      <c r="B384" s="211" t="str">
        <f t="shared" si="22"/>
        <v>L_g</v>
      </c>
      <c r="C384" s="149">
        <v>17</v>
      </c>
      <c r="D384" s="149" t="str">
        <f t="shared" si="23"/>
        <v>Abluft/Zuluft mit WRG 80%, Luftwechsel 0,4 1/h, zentral, DC-Ventilatoren</v>
      </c>
      <c r="I384" s="208" t="s">
        <v>676</v>
      </c>
      <c r="J384" s="209" t="s">
        <v>679</v>
      </c>
      <c r="K384" s="208" t="s">
        <v>680</v>
      </c>
      <c r="L384" s="208" t="s">
        <v>681</v>
      </c>
      <c r="M384" s="208" t="s">
        <v>683</v>
      </c>
      <c r="N384" s="208"/>
      <c r="O384" s="187" t="str">
        <f t="shared" si="18"/>
        <v>Abluft/Zuluft mit WRG 80%, Luftwechsel 0,4 1/h, zentral, DC-Ventilatoren</v>
      </c>
      <c r="P384" s="187"/>
      <c r="Q384" s="187"/>
      <c r="R384" s="187"/>
      <c r="S384" s="187"/>
      <c r="T384" s="187"/>
      <c r="U384" s="187"/>
      <c r="V384" s="206" t="s">
        <v>586</v>
      </c>
    </row>
    <row r="385" spans="1:22" s="149" customFormat="1" hidden="1">
      <c r="A385" s="149" t="str">
        <f t="shared" si="21"/>
        <v>L_g#18</v>
      </c>
      <c r="B385" s="211" t="str">
        <f t="shared" si="22"/>
        <v>L_g</v>
      </c>
      <c r="C385" s="149">
        <v>18</v>
      </c>
      <c r="D385" s="149" t="str">
        <f t="shared" si="23"/>
        <v>Abluft/Zuluft mit WRG 60%, Luftwechsel 0,4 1/h, dezentral, AC- oder DC-Ventilatoren</v>
      </c>
      <c r="I385" s="208" t="s">
        <v>676</v>
      </c>
      <c r="J385" s="209" t="s">
        <v>678</v>
      </c>
      <c r="K385" s="208" t="s">
        <v>680</v>
      </c>
      <c r="L385" s="208" t="s">
        <v>685</v>
      </c>
      <c r="M385" s="208" t="s">
        <v>684</v>
      </c>
      <c r="N385" s="208"/>
      <c r="O385" s="511" t="s">
        <v>2387</v>
      </c>
      <c r="P385" s="187"/>
      <c r="Q385" s="187"/>
      <c r="R385" s="187"/>
      <c r="S385" s="187"/>
      <c r="T385" s="187"/>
      <c r="U385" s="187"/>
      <c r="V385" s="206" t="s">
        <v>587</v>
      </c>
    </row>
    <row r="386" spans="1:22" s="149" customFormat="1" hidden="1">
      <c r="A386" s="149" t="str">
        <f t="shared" si="21"/>
        <v>L_g#19</v>
      </c>
      <c r="B386" s="211" t="str">
        <f t="shared" si="22"/>
        <v>L_g</v>
      </c>
      <c r="C386" s="149">
        <v>19</v>
      </c>
      <c r="D386" s="149" t="str">
        <f t="shared" si="23"/>
        <v>Abluft/Zuluft mit WRG 80%, Luftwechsel 0,4 1/h, dezentral, AC- oder DC-Ventilatoren</v>
      </c>
      <c r="I386" s="208" t="s">
        <v>676</v>
      </c>
      <c r="J386" s="209" t="s">
        <v>679</v>
      </c>
      <c r="K386" s="208" t="s">
        <v>680</v>
      </c>
      <c r="L386" s="208" t="s">
        <v>685</v>
      </c>
      <c r="M386" s="208" t="s">
        <v>684</v>
      </c>
      <c r="N386" s="208"/>
      <c r="O386" s="187" t="str">
        <f t="shared" si="18"/>
        <v>Abluft/Zuluft mit WRG 80%, Luftwechsel 0,4 1/h, dezentral, AC- oder DC-Ventilatoren</v>
      </c>
      <c r="P386" s="187"/>
      <c r="Q386" s="187"/>
      <c r="R386" s="187"/>
      <c r="S386" s="187"/>
      <c r="T386" s="187"/>
      <c r="U386" s="187"/>
      <c r="V386" s="206" t="s">
        <v>588</v>
      </c>
    </row>
    <row r="387" spans="1:22" s="149" customFormat="1" hidden="1">
      <c r="A387" s="149" t="str">
        <f t="shared" si="21"/>
        <v>L_g#21</v>
      </c>
      <c r="B387" s="211" t="str">
        <f t="shared" si="22"/>
        <v>L_g</v>
      </c>
      <c r="C387" s="149">
        <v>21</v>
      </c>
      <c r="D387" s="149" t="str">
        <f t="shared" si="23"/>
        <v>Abluft/Zuluft ohne WRG, Luftwechsel 0,4 1/h, AC-Ventilatoren</v>
      </c>
      <c r="I387" s="208" t="s">
        <v>677</v>
      </c>
      <c r="J387" s="208"/>
      <c r="K387" s="208" t="s">
        <v>680</v>
      </c>
      <c r="L387" s="208"/>
      <c r="M387" s="208" t="s">
        <v>682</v>
      </c>
      <c r="N387" s="208"/>
      <c r="O387" s="187" t="str">
        <f t="shared" si="18"/>
        <v>Abluft/Zuluft ohne WRG, Luftwechsel 0,4 1/h, AC-Ventilatoren</v>
      </c>
      <c r="P387" s="187"/>
      <c r="Q387" s="187"/>
      <c r="R387" s="187"/>
      <c r="S387" s="187"/>
      <c r="T387" s="187"/>
      <c r="U387" s="187"/>
      <c r="V387" s="206" t="s">
        <v>589</v>
      </c>
    </row>
    <row r="388" spans="1:22" s="149" customFormat="1" hidden="1">
      <c r="A388" s="149" t="str">
        <f t="shared" si="21"/>
        <v>L_g#22</v>
      </c>
      <c r="B388" s="211" t="str">
        <f t="shared" si="22"/>
        <v>L_g</v>
      </c>
      <c r="C388" s="149">
        <v>22</v>
      </c>
      <c r="D388" s="149" t="str">
        <f t="shared" si="23"/>
        <v>Abluft/Zuluft ohne WRG, Luftwechsel 0,4 1/h, DC-Ventilatoren</v>
      </c>
      <c r="I388" s="208" t="s">
        <v>677</v>
      </c>
      <c r="J388" s="208"/>
      <c r="K388" s="208" t="s">
        <v>680</v>
      </c>
      <c r="L388" s="208"/>
      <c r="M388" s="208" t="s">
        <v>683</v>
      </c>
      <c r="N388" s="208"/>
      <c r="O388" s="511" t="s">
        <v>2390</v>
      </c>
      <c r="P388" s="187"/>
      <c r="Q388" s="187"/>
      <c r="R388" s="187"/>
      <c r="S388" s="187"/>
      <c r="T388" s="187"/>
      <c r="U388" s="187"/>
      <c r="V388" s="206" t="s">
        <v>590</v>
      </c>
    </row>
    <row r="389" spans="1:22" s="149" customFormat="1" hidden="1">
      <c r="A389" s="149" t="str">
        <f t="shared" si="21"/>
        <v>L_g#23</v>
      </c>
      <c r="B389" s="211" t="str">
        <f t="shared" si="22"/>
        <v>L_g</v>
      </c>
      <c r="C389" s="149">
        <v>23</v>
      </c>
      <c r="D389" s="149" t="str">
        <f t="shared" si="23"/>
        <v>Abluft/Zuluft ohne WRG, Luftwechsel 0,4 1/h, Abluft/Wasser-Wärmepumpe, AC-Ventilatoren</v>
      </c>
      <c r="I389" s="208" t="s">
        <v>677</v>
      </c>
      <c r="J389" s="208"/>
      <c r="K389" s="208" t="s">
        <v>680</v>
      </c>
      <c r="L389" s="208" t="s">
        <v>686</v>
      </c>
      <c r="M389" s="208" t="s">
        <v>682</v>
      </c>
      <c r="N389" s="208"/>
      <c r="O389" s="187" t="str">
        <f t="shared" si="18"/>
        <v>Abluft/Zuluft ohne WRG, Luftwechsel 0,4 1/h, Abluft/Wasser-Wärmepumpe, AC-Ventilatoren</v>
      </c>
      <c r="P389" s="187"/>
      <c r="Q389" s="187"/>
      <c r="R389" s="187"/>
      <c r="S389" s="187"/>
      <c r="T389" s="187"/>
      <c r="U389" s="187"/>
      <c r="V389" s="206" t="s">
        <v>591</v>
      </c>
    </row>
    <row r="390" spans="1:22" s="149" customFormat="1" hidden="1">
      <c r="A390" s="149" t="str">
        <f t="shared" si="21"/>
        <v>L_g#24</v>
      </c>
      <c r="B390" s="211" t="str">
        <f t="shared" si="22"/>
        <v>L_g</v>
      </c>
      <c r="C390" s="149">
        <v>24</v>
      </c>
      <c r="D390" s="149" t="str">
        <f t="shared" si="23"/>
        <v>Abluft/Zuluft ohne WRG, Luftwechsel 0,4 1/h, Abluft/Wasser-Wärmepumpe, AC-Ventilatoren</v>
      </c>
      <c r="I390" s="208" t="s">
        <v>677</v>
      </c>
      <c r="J390" s="208"/>
      <c r="K390" s="208" t="s">
        <v>680</v>
      </c>
      <c r="L390" s="208" t="s">
        <v>686</v>
      </c>
      <c r="M390" s="208" t="s">
        <v>682</v>
      </c>
      <c r="N390" s="208"/>
      <c r="O390" s="187" t="str">
        <f t="shared" si="18"/>
        <v>Abluft/Zuluft ohne WRG, Luftwechsel 0,4 1/h, Abluft/Wasser-Wärmepumpe, AC-Ventilatoren</v>
      </c>
      <c r="P390" s="187"/>
      <c r="Q390" s="187"/>
      <c r="R390" s="187"/>
      <c r="S390" s="187"/>
      <c r="T390" s="187"/>
      <c r="U390" s="187"/>
      <c r="V390" s="206" t="s">
        <v>592</v>
      </c>
    </row>
    <row r="391" spans="1:22" s="149" customFormat="1" hidden="1">
      <c r="A391" s="149" t="str">
        <f t="shared" si="21"/>
        <v>L_g#31</v>
      </c>
      <c r="B391" s="211" t="str">
        <f t="shared" si="22"/>
        <v>L_g</v>
      </c>
      <c r="C391" s="149">
        <v>31</v>
      </c>
      <c r="D391" s="149" t="str">
        <f t="shared" si="23"/>
        <v>Abluft/Zuluft mit WRG 60%, Luftwechsel 0,4 1/h, zentral, AC-Ventilatoren, Nutzung für Trinwarmwasser</v>
      </c>
      <c r="I391" s="208" t="s">
        <v>676</v>
      </c>
      <c r="J391" s="209" t="s">
        <v>678</v>
      </c>
      <c r="K391" s="208" t="s">
        <v>680</v>
      </c>
      <c r="L391" s="208" t="s">
        <v>681</v>
      </c>
      <c r="M391" s="208" t="s">
        <v>682</v>
      </c>
      <c r="N391" s="208" t="s">
        <v>687</v>
      </c>
      <c r="O391" s="187" t="str">
        <f t="shared" si="18"/>
        <v>Abluft/Zuluft mit WRG 60%, Luftwechsel 0,4 1/h, zentral, AC-Ventilatoren, Nutzung für Trinwarmwasser</v>
      </c>
      <c r="P391" s="187"/>
      <c r="Q391" s="187"/>
      <c r="R391" s="187"/>
      <c r="S391" s="187"/>
      <c r="T391" s="187"/>
      <c r="U391" s="187"/>
      <c r="V391" s="206" t="s">
        <v>593</v>
      </c>
    </row>
    <row r="392" spans="1:22" s="149" customFormat="1" hidden="1">
      <c r="A392" s="149" t="str">
        <f t="shared" si="21"/>
        <v>L_g#32</v>
      </c>
      <c r="B392" s="211" t="str">
        <f t="shared" si="22"/>
        <v>L_g</v>
      </c>
      <c r="C392" s="149">
        <v>32</v>
      </c>
      <c r="D392" s="149" t="str">
        <f t="shared" si="23"/>
        <v>Abluft/Zuluft mit WRG 60%, Luftwechsel 0,4 1/h, zentral, DC-Ventilatoren, Nutzung für Trinwarmwasser</v>
      </c>
      <c r="I392" s="208" t="s">
        <v>676</v>
      </c>
      <c r="J392" s="209" t="s">
        <v>678</v>
      </c>
      <c r="K392" s="208" t="s">
        <v>680</v>
      </c>
      <c r="L392" s="208" t="s">
        <v>681</v>
      </c>
      <c r="M392" s="208" t="s">
        <v>683</v>
      </c>
      <c r="N392" s="208" t="s">
        <v>687</v>
      </c>
      <c r="O392" s="187" t="str">
        <f t="shared" si="18"/>
        <v>Abluft/Zuluft mit WRG 60%, Luftwechsel 0,4 1/h, zentral, DC-Ventilatoren, Nutzung für Trinwarmwasser</v>
      </c>
      <c r="P392" s="187"/>
      <c r="Q392" s="187"/>
      <c r="R392" s="187"/>
      <c r="S392" s="187"/>
      <c r="T392" s="187"/>
      <c r="U392" s="187"/>
      <c r="V392" s="206" t="s">
        <v>594</v>
      </c>
    </row>
    <row r="393" spans="1:22" s="149" customFormat="1" hidden="1">
      <c r="A393" s="149" t="str">
        <f t="shared" si="21"/>
        <v>L_g#33</v>
      </c>
      <c r="B393" s="211" t="str">
        <f t="shared" si="22"/>
        <v>L_g</v>
      </c>
      <c r="C393" s="149">
        <v>33</v>
      </c>
      <c r="D393" s="149" t="str">
        <f t="shared" si="23"/>
        <v>Abluft/Zuluft mit WRG 80%, Luftwechsel 0,4 1/h, zentral, DC-Ventilatoren, Nutzung für Trinwarmwasser</v>
      </c>
      <c r="I393" s="208" t="s">
        <v>676</v>
      </c>
      <c r="J393" s="209" t="s">
        <v>679</v>
      </c>
      <c r="K393" s="208" t="s">
        <v>680</v>
      </c>
      <c r="L393" s="208" t="s">
        <v>681</v>
      </c>
      <c r="M393" s="208" t="s">
        <v>683</v>
      </c>
      <c r="N393" s="208" t="s">
        <v>687</v>
      </c>
      <c r="O393" s="187" t="str">
        <f t="shared" si="18"/>
        <v>Abluft/Zuluft mit WRG 80%, Luftwechsel 0,4 1/h, zentral, DC-Ventilatoren, Nutzung für Trinwarmwasser</v>
      </c>
      <c r="P393" s="187"/>
      <c r="Q393" s="187"/>
      <c r="R393" s="187"/>
      <c r="S393" s="187"/>
      <c r="T393" s="187"/>
      <c r="U393" s="187"/>
      <c r="V393" s="206" t="s">
        <v>595</v>
      </c>
    </row>
    <row r="394" spans="1:22" s="149" customFormat="1" hidden="1">
      <c r="A394" s="149" t="str">
        <f t="shared" si="21"/>
        <v>L_g#34</v>
      </c>
      <c r="B394" s="211" t="str">
        <f t="shared" si="22"/>
        <v>L_g</v>
      </c>
      <c r="C394" s="149">
        <v>34</v>
      </c>
      <c r="D394" s="149" t="str">
        <f t="shared" si="23"/>
        <v>Abluft/Zuluft mit WRG 60%, Luftwechsel 0,4 1/h, zentral, AC-Ventilatoren, Nutzung für Trinwarmwasser</v>
      </c>
      <c r="I394" s="208" t="s">
        <v>676</v>
      </c>
      <c r="J394" s="209" t="s">
        <v>678</v>
      </c>
      <c r="K394" s="208" t="s">
        <v>680</v>
      </c>
      <c r="L394" s="208" t="s">
        <v>681</v>
      </c>
      <c r="M394" s="208" t="s">
        <v>682</v>
      </c>
      <c r="N394" s="208" t="s">
        <v>687</v>
      </c>
      <c r="O394" s="187" t="str">
        <f t="shared" si="18"/>
        <v>Abluft/Zuluft mit WRG 60%, Luftwechsel 0,4 1/h, zentral, AC-Ventilatoren, Nutzung für Trinwarmwasser</v>
      </c>
      <c r="P394" s="187"/>
      <c r="Q394" s="187"/>
      <c r="R394" s="187"/>
      <c r="S394" s="187"/>
      <c r="T394" s="187"/>
      <c r="U394" s="187"/>
      <c r="V394" s="206" t="s">
        <v>596</v>
      </c>
    </row>
    <row r="395" spans="1:22" s="149" customFormat="1" hidden="1">
      <c r="A395" s="149" t="str">
        <f t="shared" si="21"/>
        <v>L_g#35</v>
      </c>
      <c r="B395" s="211" t="str">
        <f t="shared" si="22"/>
        <v>L_g</v>
      </c>
      <c r="C395" s="149">
        <v>35</v>
      </c>
      <c r="D395" s="149" t="str">
        <f t="shared" si="23"/>
        <v>Abluft/Zuluft mit WRG 60%, Luftwechsel 0,4 1/h, zentral, DC-Ventilatoren, Nutzung für Trinwarmwasser</v>
      </c>
      <c r="I395" s="208" t="s">
        <v>676</v>
      </c>
      <c r="J395" s="209" t="s">
        <v>678</v>
      </c>
      <c r="K395" s="208" t="s">
        <v>680</v>
      </c>
      <c r="L395" s="208" t="s">
        <v>681</v>
      </c>
      <c r="M395" s="208" t="s">
        <v>683</v>
      </c>
      <c r="N395" s="208" t="s">
        <v>687</v>
      </c>
      <c r="O395" s="187" t="str">
        <f t="shared" si="18"/>
        <v>Abluft/Zuluft mit WRG 60%, Luftwechsel 0,4 1/h, zentral, DC-Ventilatoren, Nutzung für Trinwarmwasser</v>
      </c>
      <c r="P395" s="187"/>
      <c r="Q395" s="187"/>
      <c r="R395" s="187"/>
      <c r="S395" s="187"/>
      <c r="T395" s="187"/>
      <c r="U395" s="187"/>
      <c r="V395" s="206" t="s">
        <v>597</v>
      </c>
    </row>
    <row r="396" spans="1:22" s="149" customFormat="1" hidden="1">
      <c r="A396" s="149" t="str">
        <f t="shared" si="21"/>
        <v>L_g#36</v>
      </c>
      <c r="B396" s="211" t="str">
        <f t="shared" si="22"/>
        <v>L_g</v>
      </c>
      <c r="C396" s="149">
        <v>36</v>
      </c>
      <c r="D396" s="149" t="str">
        <f t="shared" si="23"/>
        <v>Abluft/Zuluft mit WRG 80%, Luftwechsel 0,4 1/h, zentral, AC-Ventilatoren, Nutzung für Trinwarmwasser</v>
      </c>
      <c r="I396" s="208" t="s">
        <v>676</v>
      </c>
      <c r="J396" s="209" t="s">
        <v>679</v>
      </c>
      <c r="K396" s="208" t="s">
        <v>680</v>
      </c>
      <c r="L396" s="208" t="s">
        <v>681</v>
      </c>
      <c r="M396" s="208" t="s">
        <v>682</v>
      </c>
      <c r="N396" s="208" t="s">
        <v>687</v>
      </c>
      <c r="O396" s="187" t="str">
        <f t="shared" si="18"/>
        <v>Abluft/Zuluft mit WRG 80%, Luftwechsel 0,4 1/h, zentral, AC-Ventilatoren, Nutzung für Trinwarmwasser</v>
      </c>
      <c r="P396" s="187"/>
      <c r="Q396" s="187"/>
      <c r="R396" s="187"/>
      <c r="S396" s="187"/>
      <c r="T396" s="187"/>
      <c r="U396" s="187"/>
      <c r="V396" s="206" t="s">
        <v>598</v>
      </c>
    </row>
    <row r="397" spans="1:22" s="149" customFormat="1" hidden="1">
      <c r="A397" s="149" t="str">
        <f t="shared" si="21"/>
        <v>L_g#37</v>
      </c>
      <c r="B397" s="211" t="str">
        <f t="shared" si="22"/>
        <v>L_g</v>
      </c>
      <c r="C397" s="149">
        <v>37</v>
      </c>
      <c r="D397" s="149" t="str">
        <f t="shared" si="23"/>
        <v>Abluft/Zuluft mit WRG 80%, Luftwechsel 0,4 1/h, zentral, DC-Ventilatoren, Nutzung für Trinwarmwasser</v>
      </c>
      <c r="I397" s="208" t="s">
        <v>676</v>
      </c>
      <c r="J397" s="209" t="s">
        <v>679</v>
      </c>
      <c r="K397" s="208" t="s">
        <v>680</v>
      </c>
      <c r="L397" s="208" t="s">
        <v>681</v>
      </c>
      <c r="M397" s="208" t="s">
        <v>683</v>
      </c>
      <c r="N397" s="208" t="s">
        <v>687</v>
      </c>
      <c r="O397" s="187" t="str">
        <f t="shared" si="18"/>
        <v>Abluft/Zuluft mit WRG 80%, Luftwechsel 0,4 1/h, zentral, DC-Ventilatoren, Nutzung für Trinwarmwasser</v>
      </c>
      <c r="P397" s="187"/>
      <c r="Q397" s="187"/>
      <c r="R397" s="187"/>
      <c r="S397" s="187"/>
      <c r="T397" s="187"/>
      <c r="U397" s="187"/>
      <c r="V397" s="206" t="s">
        <v>599</v>
      </c>
    </row>
    <row r="398" spans="1:22" s="149" customFormat="1" hidden="1">
      <c r="A398" s="149" t="str">
        <f t="shared" si="21"/>
        <v>L_g#38</v>
      </c>
      <c r="B398" s="211" t="str">
        <f t="shared" si="22"/>
        <v>L_g</v>
      </c>
      <c r="C398" s="149">
        <v>38</v>
      </c>
      <c r="D398" s="149" t="str">
        <f t="shared" si="23"/>
        <v>Abluft/Zuluft mit WRG 60%, Luftwechsel 0,4 1/h, dezentral, AC- oder DC-Ventilatoren, Nutzung für Trinwarmwasser</v>
      </c>
      <c r="I398" s="208" t="s">
        <v>676</v>
      </c>
      <c r="J398" s="209" t="s">
        <v>678</v>
      </c>
      <c r="K398" s="208" t="s">
        <v>680</v>
      </c>
      <c r="L398" s="208" t="s">
        <v>685</v>
      </c>
      <c r="M398" s="208" t="s">
        <v>684</v>
      </c>
      <c r="N398" s="208" t="s">
        <v>687</v>
      </c>
      <c r="O398" s="187" t="str">
        <f t="shared" si="18"/>
        <v>Abluft/Zuluft mit WRG 60%, Luftwechsel 0,4 1/h, dezentral, AC- oder DC-Ventilatoren, Nutzung für Trinwarmwasser</v>
      </c>
      <c r="P398" s="187"/>
      <c r="Q398" s="187"/>
      <c r="R398" s="187"/>
      <c r="S398" s="187"/>
      <c r="T398" s="187"/>
      <c r="U398" s="187"/>
      <c r="V398" s="206" t="s">
        <v>600</v>
      </c>
    </row>
    <row r="399" spans="1:22" s="149" customFormat="1" hidden="1">
      <c r="A399" s="149" t="str">
        <f t="shared" si="21"/>
        <v>L_g#39</v>
      </c>
      <c r="B399" s="211" t="str">
        <f t="shared" si="22"/>
        <v>L_g</v>
      </c>
      <c r="C399" s="149">
        <v>39</v>
      </c>
      <c r="D399" s="149" t="str">
        <f t="shared" si="23"/>
        <v>Abluft/Zuluft mit WRG 80%, Luftwechsel 0,4 1/h, dezentral, AC- oder DC-Ventilatoren, Nutzung für Trinwarmwasser</v>
      </c>
      <c r="I399" s="208" t="s">
        <v>676</v>
      </c>
      <c r="J399" s="209" t="s">
        <v>679</v>
      </c>
      <c r="K399" s="208" t="s">
        <v>680</v>
      </c>
      <c r="L399" s="208" t="s">
        <v>685</v>
      </c>
      <c r="M399" s="208" t="s">
        <v>684</v>
      </c>
      <c r="N399" s="208" t="s">
        <v>687</v>
      </c>
      <c r="O399" s="187" t="str">
        <f t="shared" si="18"/>
        <v>Abluft/Zuluft mit WRG 80%, Luftwechsel 0,4 1/h, dezentral, AC- oder DC-Ventilatoren, Nutzung für Trinwarmwasser</v>
      </c>
      <c r="P399" s="187"/>
      <c r="Q399" s="187"/>
      <c r="R399" s="187"/>
      <c r="S399" s="187"/>
      <c r="T399" s="187"/>
      <c r="U399" s="187"/>
      <c r="V399" s="206" t="s">
        <v>601</v>
      </c>
    </row>
    <row r="400" spans="1:22" s="149" customFormat="1" hidden="1">
      <c r="A400" s="149" t="str">
        <f t="shared" si="21"/>
        <v>L_g#41</v>
      </c>
      <c r="B400" s="211" t="str">
        <f t="shared" si="22"/>
        <v>L_g</v>
      </c>
      <c r="C400" s="149">
        <v>41</v>
      </c>
      <c r="D400" s="149" t="str">
        <f t="shared" si="23"/>
        <v>Abluft/Zuluft ohne WRG, Luftwechsel 0,4 1/h, AC-Ventilatoren, Nutzung für Trinwarmwasser</v>
      </c>
      <c r="I400" s="208" t="s">
        <v>677</v>
      </c>
      <c r="J400" s="208"/>
      <c r="K400" s="208" t="s">
        <v>680</v>
      </c>
      <c r="L400" s="208"/>
      <c r="M400" s="208" t="s">
        <v>682</v>
      </c>
      <c r="N400" s="208" t="s">
        <v>687</v>
      </c>
      <c r="O400" s="187" t="str">
        <f t="shared" si="18"/>
        <v>Abluft/Zuluft ohne WRG, Luftwechsel 0,4 1/h, AC-Ventilatoren, Nutzung für Trinwarmwasser</v>
      </c>
      <c r="P400" s="187"/>
      <c r="Q400" s="187"/>
      <c r="R400" s="187"/>
      <c r="S400" s="187"/>
      <c r="T400" s="187"/>
      <c r="U400" s="187"/>
      <c r="V400" s="206" t="s">
        <v>602</v>
      </c>
    </row>
    <row r="401" spans="1:22" s="149" customFormat="1" hidden="1">
      <c r="A401" s="149" t="str">
        <f t="shared" si="21"/>
        <v>L_g#42</v>
      </c>
      <c r="B401" s="211" t="str">
        <f t="shared" si="22"/>
        <v>L_g</v>
      </c>
      <c r="C401" s="149">
        <v>42</v>
      </c>
      <c r="D401" s="149" t="str">
        <f t="shared" si="23"/>
        <v>Abluft/Zuluft ohne WRG, Luftwechsel 0,4 1/h, DC-Ventilatoren, Nutzung für Trinwarmwasser</v>
      </c>
      <c r="I401" s="208" t="s">
        <v>677</v>
      </c>
      <c r="J401" s="208"/>
      <c r="K401" s="208" t="s">
        <v>680</v>
      </c>
      <c r="L401" s="208"/>
      <c r="M401" s="208" t="s">
        <v>683</v>
      </c>
      <c r="N401" s="208" t="s">
        <v>687</v>
      </c>
      <c r="O401" s="187" t="str">
        <f t="shared" si="18"/>
        <v>Abluft/Zuluft ohne WRG, Luftwechsel 0,4 1/h, DC-Ventilatoren, Nutzung für Trinwarmwasser</v>
      </c>
      <c r="P401" s="187"/>
      <c r="Q401" s="187"/>
      <c r="R401" s="187"/>
      <c r="S401" s="187"/>
      <c r="T401" s="187"/>
      <c r="U401" s="187"/>
      <c r="V401" s="206" t="s">
        <v>603</v>
      </c>
    </row>
    <row r="402" spans="1:22" s="149" customFormat="1" hidden="1">
      <c r="A402" s="149" t="str">
        <f t="shared" si="21"/>
        <v>L_g#43</v>
      </c>
      <c r="B402" s="211" t="str">
        <f t="shared" si="22"/>
        <v>L_g</v>
      </c>
      <c r="C402" s="149">
        <v>43</v>
      </c>
      <c r="D402" s="149" t="str">
        <f t="shared" si="23"/>
        <v>Abluft/Zuluft ohne WRG, Luftwechsel 0,4 1/h, Abluft/Wasser-Wärmepumpe, AC-Ventilatoren, Nutzung für Trinwarmwasser</v>
      </c>
      <c r="I402" s="208" t="s">
        <v>677</v>
      </c>
      <c r="J402" s="208"/>
      <c r="K402" s="208" t="s">
        <v>680</v>
      </c>
      <c r="L402" s="208" t="s">
        <v>686</v>
      </c>
      <c r="M402" s="208" t="s">
        <v>682</v>
      </c>
      <c r="N402" s="208" t="s">
        <v>687</v>
      </c>
      <c r="O402" s="187" t="str">
        <f t="shared" si="18"/>
        <v>Abluft/Zuluft ohne WRG, Luftwechsel 0,4 1/h, Abluft/Wasser-Wärmepumpe, AC-Ventilatoren, Nutzung für Trinwarmwasser</v>
      </c>
      <c r="P402" s="187"/>
      <c r="Q402" s="187"/>
      <c r="R402" s="187"/>
      <c r="S402" s="187"/>
      <c r="T402" s="187"/>
      <c r="U402" s="187"/>
      <c r="V402" s="206" t="s">
        <v>604</v>
      </c>
    </row>
    <row r="403" spans="1:22" s="149" customFormat="1" hidden="1">
      <c r="A403" s="149" t="str">
        <f t="shared" si="21"/>
        <v>L_g#44</v>
      </c>
      <c r="B403" s="212" t="str">
        <f t="shared" si="22"/>
        <v>L_g</v>
      </c>
      <c r="C403" s="149">
        <v>44</v>
      </c>
      <c r="D403" s="149" t="str">
        <f t="shared" si="23"/>
        <v>Abluft/Zuluft ohne WRG, Luftwechsel 0,4 1/h, Abluft/Wasser-Wärmepumpe, AC-Ventilatoren, Nutzung für Trinwarmwasser</v>
      </c>
      <c r="I403" s="208" t="s">
        <v>677</v>
      </c>
      <c r="J403" s="208"/>
      <c r="K403" s="208" t="s">
        <v>680</v>
      </c>
      <c r="L403" s="208" t="s">
        <v>686</v>
      </c>
      <c r="M403" s="208" t="s">
        <v>682</v>
      </c>
      <c r="N403" s="208" t="s">
        <v>687</v>
      </c>
      <c r="O403" s="187" t="str">
        <f t="shared" si="18"/>
        <v>Abluft/Zuluft ohne WRG, Luftwechsel 0,4 1/h, Abluft/Wasser-Wärmepumpe, AC-Ventilatoren, Nutzung für Trinwarmwasser</v>
      </c>
      <c r="P403" s="187"/>
      <c r="Q403" s="187"/>
      <c r="R403" s="187"/>
      <c r="S403" s="187"/>
      <c r="T403" s="187"/>
      <c r="U403" s="187"/>
      <c r="V403" s="206" t="s">
        <v>605</v>
      </c>
    </row>
    <row r="404" spans="1:22" s="149" customFormat="1" hidden="1">
      <c r="A404" s="149" t="str">
        <f t="shared" si="21"/>
        <v>L_n#0</v>
      </c>
      <c r="B404" s="210" t="s">
        <v>427</v>
      </c>
      <c r="C404" s="149">
        <v>0</v>
      </c>
      <c r="D404" s="149" t="s">
        <v>428</v>
      </c>
      <c r="O404" s="187" t="str">
        <f t="shared" si="18"/>
        <v>nix</v>
      </c>
      <c r="P404" s="187"/>
      <c r="Q404" s="187"/>
      <c r="R404" s="187"/>
      <c r="S404" s="187"/>
      <c r="T404" s="187"/>
      <c r="U404" s="187"/>
      <c r="V404" s="206" t="s">
        <v>428</v>
      </c>
    </row>
    <row r="405" spans="1:22" s="149" customFormat="1" hidden="1">
      <c r="A405" s="149" t="str">
        <f t="shared" si="21"/>
        <v>L_n#1</v>
      </c>
      <c r="B405" s="211" t="str">
        <f t="shared" ref="B405:B411" si="24">B404</f>
        <v>L_n</v>
      </c>
      <c r="C405" s="149">
        <v>1</v>
      </c>
      <c r="D405" s="149" t="s">
        <v>606</v>
      </c>
      <c r="O405" s="187" t="str">
        <f t="shared" si="18"/>
        <v>n = 0,4</v>
      </c>
      <c r="P405" s="187"/>
      <c r="Q405" s="187"/>
      <c r="R405" s="187"/>
      <c r="S405" s="187"/>
      <c r="T405" s="187"/>
      <c r="U405" s="187"/>
      <c r="V405" s="206" t="s">
        <v>606</v>
      </c>
    </row>
    <row r="406" spans="1:22" s="149" customFormat="1" hidden="1">
      <c r="A406" s="149" t="str">
        <f t="shared" si="21"/>
        <v>L_n#2</v>
      </c>
      <c r="B406" s="211" t="str">
        <f t="shared" si="24"/>
        <v>L_n</v>
      </c>
      <c r="C406" s="149">
        <v>2</v>
      </c>
      <c r="D406" s="149" t="s">
        <v>607</v>
      </c>
      <c r="O406" s="187" t="str">
        <f t="shared" si="18"/>
        <v>n = 0,5</v>
      </c>
      <c r="P406" s="187"/>
      <c r="Q406" s="187"/>
      <c r="R406" s="187"/>
      <c r="S406" s="187"/>
      <c r="T406" s="187"/>
      <c r="U406" s="187"/>
      <c r="V406" s="206" t="s">
        <v>607</v>
      </c>
    </row>
    <row r="407" spans="1:22" s="149" customFormat="1" hidden="1">
      <c r="A407" s="149" t="str">
        <f t="shared" si="21"/>
        <v>L_n#3</v>
      </c>
      <c r="B407" s="211" t="str">
        <f t="shared" si="24"/>
        <v>L_n</v>
      </c>
      <c r="C407" s="149">
        <v>3</v>
      </c>
      <c r="D407" s="149" t="s">
        <v>608</v>
      </c>
      <c r="O407" s="187" t="str">
        <f t="shared" si="18"/>
        <v>n = 0,6</v>
      </c>
      <c r="P407" s="187"/>
      <c r="Q407" s="187"/>
      <c r="R407" s="187"/>
      <c r="S407" s="187"/>
      <c r="T407" s="187"/>
      <c r="U407" s="187"/>
      <c r="V407" s="206" t="s">
        <v>608</v>
      </c>
    </row>
    <row r="408" spans="1:22" s="149" customFormat="1" hidden="1">
      <c r="A408" s="149" t="str">
        <f t="shared" si="21"/>
        <v>L_n#4</v>
      </c>
      <c r="B408" s="211" t="str">
        <f t="shared" si="24"/>
        <v>L_n</v>
      </c>
      <c r="C408" s="149">
        <v>4</v>
      </c>
      <c r="D408" s="149" t="s">
        <v>609</v>
      </c>
      <c r="O408" s="187" t="str">
        <f t="shared" si="18"/>
        <v>n = 0,7</v>
      </c>
      <c r="P408" s="187"/>
      <c r="Q408" s="187"/>
      <c r="R408" s="187"/>
      <c r="S408" s="187"/>
      <c r="T408" s="187"/>
      <c r="U408" s="187"/>
      <c r="V408" s="206" t="s">
        <v>609</v>
      </c>
    </row>
    <row r="409" spans="1:22" s="149" customFormat="1" hidden="1">
      <c r="A409" s="149" t="str">
        <f>B409&amp;"#"&amp;C409</f>
        <v>L_n#5</v>
      </c>
      <c r="B409" s="211" t="str">
        <f t="shared" si="24"/>
        <v>L_n</v>
      </c>
      <c r="C409" s="149">
        <v>5</v>
      </c>
      <c r="D409" s="149" t="s">
        <v>610</v>
      </c>
      <c r="O409" s="187" t="str">
        <f t="shared" si="18"/>
        <v>n = 0,8</v>
      </c>
      <c r="P409" s="187"/>
      <c r="Q409" s="187"/>
      <c r="R409" s="187"/>
      <c r="S409" s="187"/>
      <c r="T409" s="187"/>
      <c r="U409" s="187"/>
      <c r="V409" s="206" t="s">
        <v>610</v>
      </c>
    </row>
    <row r="410" spans="1:22" s="149" customFormat="1" hidden="1">
      <c r="A410" s="149" t="str">
        <f>B410&amp;"#"&amp;C410</f>
        <v>L_n#6</v>
      </c>
      <c r="B410" s="211" t="str">
        <f t="shared" si="24"/>
        <v>L_n</v>
      </c>
      <c r="C410" s="149">
        <v>6</v>
      </c>
      <c r="D410" s="149" t="s">
        <v>611</v>
      </c>
      <c r="O410" s="187" t="str">
        <f>D410</f>
        <v>n = 0,9</v>
      </c>
      <c r="P410" s="187"/>
      <c r="Q410" s="187"/>
      <c r="R410" s="187"/>
      <c r="S410" s="187"/>
      <c r="T410" s="187"/>
      <c r="U410" s="187"/>
      <c r="V410" s="206" t="s">
        <v>611</v>
      </c>
    </row>
    <row r="411" spans="1:22" s="149" customFormat="1" hidden="1">
      <c r="A411" s="149" t="str">
        <f>B411&amp;"#"&amp;C411</f>
        <v>L_n#7</v>
      </c>
      <c r="B411" s="212" t="str">
        <f t="shared" si="24"/>
        <v>L_n</v>
      </c>
      <c r="C411" s="149">
        <v>7</v>
      </c>
      <c r="D411" s="149" t="s">
        <v>612</v>
      </c>
      <c r="O411" s="187" t="str">
        <f>D411</f>
        <v>n = 1</v>
      </c>
      <c r="P411" s="187"/>
      <c r="Q411" s="187"/>
      <c r="R411" s="187"/>
      <c r="S411" s="187"/>
      <c r="T411" s="187"/>
      <c r="U411" s="187"/>
      <c r="V411" s="206" t="s">
        <v>612</v>
      </c>
    </row>
    <row r="412" spans="1:22">
      <c r="E412" s="28"/>
      <c r="M412" s="123"/>
      <c r="N412" s="123"/>
    </row>
    <row r="413" spans="1:22">
      <c r="E413" s="28"/>
      <c r="M413" s="123"/>
      <c r="N413" s="123"/>
    </row>
    <row r="414" spans="1:22">
      <c r="E414" s="28"/>
      <c r="M414" s="123"/>
      <c r="N414" s="123"/>
    </row>
    <row r="415" spans="1:22">
      <c r="E415" s="28"/>
      <c r="M415" s="123"/>
      <c r="N415" s="123"/>
    </row>
    <row r="416" spans="1:22">
      <c r="E416" s="28"/>
      <c r="M416" s="123"/>
      <c r="N416" s="123"/>
    </row>
    <row r="417" spans="5:14">
      <c r="E417" s="28"/>
      <c r="M417" s="123"/>
      <c r="N417" s="123"/>
    </row>
    <row r="418" spans="5:14">
      <c r="E418" s="28"/>
    </row>
    <row r="419" spans="5:14">
      <c r="E419" s="28"/>
    </row>
    <row r="420" spans="5:14">
      <c r="E420" s="28"/>
    </row>
    <row r="421" spans="5:14">
      <c r="E421" s="28"/>
    </row>
    <row r="422" spans="5:14">
      <c r="E422" s="28"/>
    </row>
    <row r="423" spans="5:14">
      <c r="E423" s="28"/>
    </row>
    <row r="424" spans="5:14">
      <c r="E424" s="28"/>
    </row>
    <row r="425" spans="5:14">
      <c r="E425" s="28"/>
    </row>
    <row r="426" spans="5:14">
      <c r="E426" s="28"/>
    </row>
    <row r="427" spans="5:14">
      <c r="E427" s="28"/>
    </row>
    <row r="428" spans="5:14">
      <c r="E428" s="28"/>
    </row>
  </sheetData>
  <sheetProtection algorithmName="SHA-512" hashValue="rPdu5oYI2vWn5iSn+hr95+ZDjNHFCscX7ahleY1JY+k3UmRRiEJ+4jE09IqqNyu1MO9Tr31m98Vr51L05kw58w==" saltValue="84nD9jMkfU0cfvt4uXw6SQ==" spinCount="100000" sheet="1" objects="1" scenarios="1"/>
  <mergeCells count="57">
    <mergeCell ref="D34:E34"/>
    <mergeCell ref="G32:H32"/>
    <mergeCell ref="J32:K32"/>
    <mergeCell ref="G90:H90"/>
    <mergeCell ref="G128:H128"/>
    <mergeCell ref="G126:H126"/>
    <mergeCell ref="G127:H127"/>
    <mergeCell ref="J34:K34"/>
    <mergeCell ref="G89:H89"/>
    <mergeCell ref="G37:H37"/>
    <mergeCell ref="G38:H38"/>
    <mergeCell ref="G39:H39"/>
    <mergeCell ref="G34:H34"/>
    <mergeCell ref="G88:H88"/>
    <mergeCell ref="G40:H40"/>
    <mergeCell ref="G41:H41"/>
    <mergeCell ref="I20:K20"/>
    <mergeCell ref="C21:E21"/>
    <mergeCell ref="F21:H21"/>
    <mergeCell ref="I21:K21"/>
    <mergeCell ref="D30:E30"/>
    <mergeCell ref="G30:H30"/>
    <mergeCell ref="C20:E20"/>
    <mergeCell ref="F20:H20"/>
    <mergeCell ref="C19:E19"/>
    <mergeCell ref="I19:K19"/>
    <mergeCell ref="D15:E15"/>
    <mergeCell ref="D16:E16"/>
    <mergeCell ref="G15:H15"/>
    <mergeCell ref="G16:H16"/>
    <mergeCell ref="F19:H19"/>
    <mergeCell ref="A1:K1"/>
    <mergeCell ref="C14:E14"/>
    <mergeCell ref="I14:K14"/>
    <mergeCell ref="F14:H14"/>
    <mergeCell ref="D11:E11"/>
    <mergeCell ref="D12:E12"/>
    <mergeCell ref="D6:K6"/>
    <mergeCell ref="D7:K7"/>
    <mergeCell ref="D8:K8"/>
    <mergeCell ref="D9:K9"/>
    <mergeCell ref="B134:D134"/>
    <mergeCell ref="G178:H178"/>
    <mergeCell ref="G179:H179"/>
    <mergeCell ref="G180:H180"/>
    <mergeCell ref="J28:K28"/>
    <mergeCell ref="J30:K30"/>
    <mergeCell ref="D28:E28"/>
    <mergeCell ref="G28:H28"/>
    <mergeCell ref="B133:D133"/>
    <mergeCell ref="A40:D40"/>
    <mergeCell ref="B94:D94"/>
    <mergeCell ref="B95:D95"/>
    <mergeCell ref="B45:D45"/>
    <mergeCell ref="B46:D46"/>
    <mergeCell ref="B81:D81"/>
    <mergeCell ref="D32:E32"/>
  </mergeCells>
  <pageMargins left="0.70866141732283472" right="0.70866141732283472" top="0.78740157480314965" bottom="0.78740157480314965" header="0.31496062992125984" footer="0.31496062992125984"/>
  <pageSetup paperSize="9" scale="95" fitToHeight="4" orientation="portrait" r:id="rId1"/>
  <headerFooter>
    <oddFooter>&amp;L&amp;G&amp;C&amp;"Arial,Standard"&amp;9A. Maas und K. Höttges
V4.0, April 2023&amp;R&amp;"Arial,Standard"&amp;9Berechnungsblatt GEG 2023, Blatt '&amp;A'
Seite &amp;P von &amp;N</oddFooter>
  </headerFooter>
  <rowBreaks count="3" manualBreakCount="3">
    <brk id="42" max="16383" man="1"/>
    <brk id="91" max="16383" man="1"/>
    <brk id="130"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67" r:id="rId5" name="Button 19">
              <controlPr defaultSize="0" print="0" autoFill="0" autoPict="0" macro="[0]!ZeilenEinAusBlendenAlle">
                <anchor moveWithCells="1">
                  <from>
                    <xdr:col>11</xdr:col>
                    <xdr:colOff>7620</xdr:colOff>
                    <xdr:row>0</xdr:row>
                    <xdr:rowOff>0</xdr:rowOff>
                  </from>
                  <to>
                    <xdr:col>11</xdr:col>
                    <xdr:colOff>251460</xdr:colOff>
                    <xdr:row>0</xdr:row>
                    <xdr:rowOff>236220</xdr:rowOff>
                  </to>
                </anchor>
              </controlPr>
            </control>
          </mc:Choice>
        </mc:AlternateContent>
        <mc:AlternateContent xmlns:mc="http://schemas.openxmlformats.org/markup-compatibility/2006">
          <mc:Choice Requires="x14">
            <control shapeId="2068" r:id="rId6" name="Button 20">
              <controlPr defaultSize="0" print="0" autoFill="0" autoPict="0" macro="[0]!ZeilenEinAusBlendenEinzeln">
                <anchor moveWithCells="1">
                  <from>
                    <xdr:col>11</xdr:col>
                    <xdr:colOff>7620</xdr:colOff>
                    <xdr:row>42</xdr:row>
                    <xdr:rowOff>7620</xdr:rowOff>
                  </from>
                  <to>
                    <xdr:col>11</xdr:col>
                    <xdr:colOff>251460</xdr:colOff>
                    <xdr:row>42</xdr:row>
                    <xdr:rowOff>251460</xdr:rowOff>
                  </to>
                </anchor>
              </controlPr>
            </control>
          </mc:Choice>
        </mc:AlternateContent>
        <mc:AlternateContent xmlns:mc="http://schemas.openxmlformats.org/markup-compatibility/2006">
          <mc:Choice Requires="x14">
            <control shapeId="2070" r:id="rId7" name="Button 22">
              <controlPr defaultSize="0" print="0" autoFill="0" autoPict="0" macro="[0]!ZeilenEinAusBlendenEinzeln">
                <anchor moveWithCells="1">
                  <from>
                    <xdr:col>11</xdr:col>
                    <xdr:colOff>7620</xdr:colOff>
                    <xdr:row>91</xdr:row>
                    <xdr:rowOff>7620</xdr:rowOff>
                  </from>
                  <to>
                    <xdr:col>11</xdr:col>
                    <xdr:colOff>251460</xdr:colOff>
                    <xdr:row>92</xdr:row>
                    <xdr:rowOff>0</xdr:rowOff>
                  </to>
                </anchor>
              </controlPr>
            </control>
          </mc:Choice>
        </mc:AlternateContent>
        <mc:AlternateContent xmlns:mc="http://schemas.openxmlformats.org/markup-compatibility/2006">
          <mc:Choice Requires="x14">
            <control shapeId="2072" r:id="rId8" name="Button 24">
              <controlPr defaultSize="0" print="0" autoFill="0" autoPict="0" macro="[0]!ZeilenEinAusBlendenEinzeln">
                <anchor moveWithCells="1">
                  <from>
                    <xdr:col>11</xdr:col>
                    <xdr:colOff>7620</xdr:colOff>
                    <xdr:row>3</xdr:row>
                    <xdr:rowOff>7620</xdr:rowOff>
                  </from>
                  <to>
                    <xdr:col>11</xdr:col>
                    <xdr:colOff>251460</xdr:colOff>
                    <xdr:row>3</xdr:row>
                    <xdr:rowOff>251460</xdr:rowOff>
                  </to>
                </anchor>
              </controlPr>
            </control>
          </mc:Choice>
        </mc:AlternateContent>
        <mc:AlternateContent xmlns:mc="http://schemas.openxmlformats.org/markup-compatibility/2006">
          <mc:Choice Requires="x14">
            <control shapeId="2073" r:id="rId9" name="Button 25">
              <controlPr defaultSize="0" print="0" autoFill="0" autoPict="0" macro="[0]!ZeilenEinAusBlendenEinzeln">
                <anchor moveWithCells="1">
                  <from>
                    <xdr:col>11</xdr:col>
                    <xdr:colOff>7620</xdr:colOff>
                    <xdr:row>130</xdr:row>
                    <xdr:rowOff>7620</xdr:rowOff>
                  </from>
                  <to>
                    <xdr:col>11</xdr:col>
                    <xdr:colOff>251460</xdr:colOff>
                    <xdr:row>131</xdr:row>
                    <xdr:rowOff>0</xdr:rowOff>
                  </to>
                </anchor>
              </controlPr>
            </control>
          </mc:Choice>
        </mc:AlternateContent>
        <mc:AlternateContent xmlns:mc="http://schemas.openxmlformats.org/markup-compatibility/2006">
          <mc:Choice Requires="x14">
            <control shapeId="2089" r:id="rId10" name="Button 41">
              <controlPr defaultSize="0" print="0" autoFill="0" autoPict="0" macro="[0]!AnlageLaden">
                <anchor>
                  <from>
                    <xdr:col>12</xdr:col>
                    <xdr:colOff>30480</xdr:colOff>
                    <xdr:row>15</xdr:row>
                    <xdr:rowOff>68580</xdr:rowOff>
                  </from>
                  <to>
                    <xdr:col>25</xdr:col>
                    <xdr:colOff>0</xdr:colOff>
                    <xdr:row>17</xdr:row>
                    <xdr:rowOff>99060</xdr:rowOff>
                  </to>
                </anchor>
              </controlPr>
            </control>
          </mc:Choice>
        </mc:AlternateContent>
        <mc:AlternateContent xmlns:mc="http://schemas.openxmlformats.org/markup-compatibility/2006">
          <mc:Choice Requires="x14">
            <control shapeId="2090" r:id="rId11" name="List Box 42">
              <controlPr defaultSize="0" print="0" autoLine="0" autoPict="0">
                <anchor>
                  <from>
                    <xdr:col>25</xdr:col>
                    <xdr:colOff>388620</xdr:colOff>
                    <xdr:row>7</xdr:row>
                    <xdr:rowOff>106680</xdr:rowOff>
                  </from>
                  <to>
                    <xdr:col>31</xdr:col>
                    <xdr:colOff>548640</xdr:colOff>
                    <xdr:row>15</xdr:row>
                    <xdr:rowOff>160020</xdr:rowOff>
                  </to>
                </anchor>
              </controlPr>
            </control>
          </mc:Choice>
        </mc:AlternateContent>
        <mc:AlternateContent xmlns:mc="http://schemas.openxmlformats.org/markup-compatibility/2006">
          <mc:Choice Requires="x14">
            <control shapeId="2091" r:id="rId12" name="stLilaAnAus">
              <controlPr defaultSize="0" print="0" autoFill="0" autoPict="0" macro="[0]!LilaAnAus">
                <anchor>
                  <from>
                    <xdr:col>24</xdr:col>
                    <xdr:colOff>541020</xdr:colOff>
                    <xdr:row>0</xdr:row>
                    <xdr:rowOff>0</xdr:rowOff>
                  </from>
                  <to>
                    <xdr:col>27</xdr:col>
                    <xdr:colOff>7620</xdr:colOff>
                    <xdr:row>0</xdr:row>
                    <xdr:rowOff>236220</xdr:rowOff>
                  </to>
                </anchor>
              </controlPr>
            </control>
          </mc:Choice>
        </mc:AlternateContent>
        <mc:AlternateContent xmlns:mc="http://schemas.openxmlformats.org/markup-compatibility/2006">
          <mc:Choice Requires="x14">
            <control shapeId="2093" r:id="rId13" name="Button 45">
              <controlPr defaultSize="0" print="0" autoFill="0" autoPict="0" macro="[0]!Leeren">
                <anchor>
                  <from>
                    <xdr:col>27</xdr:col>
                    <xdr:colOff>121920</xdr:colOff>
                    <xdr:row>0</xdr:row>
                    <xdr:rowOff>0</xdr:rowOff>
                  </from>
                  <to>
                    <xdr:col>28</xdr:col>
                    <xdr:colOff>594360</xdr:colOff>
                    <xdr:row>1</xdr:row>
                    <xdr:rowOff>7620</xdr:rowOff>
                  </to>
                </anchor>
              </controlPr>
            </control>
          </mc:Choice>
        </mc:AlternateContent>
        <mc:AlternateContent xmlns:mc="http://schemas.openxmlformats.org/markup-compatibility/2006">
          <mc:Choice Requires="x14">
            <control shapeId="2095" r:id="rId14" name="List Box 47">
              <controlPr defaultSize="0" print="0" autoLine="0" autoPict="0">
                <anchor>
                  <from>
                    <xdr:col>23</xdr:col>
                    <xdr:colOff>739140</xdr:colOff>
                    <xdr:row>168</xdr:row>
                    <xdr:rowOff>198120</xdr:rowOff>
                  </from>
                  <to>
                    <xdr:col>30</xdr:col>
                    <xdr:colOff>106680</xdr:colOff>
                    <xdr:row>177</xdr:row>
                    <xdr:rowOff>106680</xdr:rowOff>
                  </to>
                </anchor>
              </controlPr>
            </control>
          </mc:Choice>
        </mc:AlternateContent>
        <mc:AlternateContent xmlns:mc="http://schemas.openxmlformats.org/markup-compatibility/2006">
          <mc:Choice Requires="x14">
            <control shapeId="2096" r:id="rId15" name="Button 48">
              <controlPr defaultSize="0" print="0" autoFill="0" autoPict="0" macro="[0]!AnlageLaden">
                <anchor>
                  <from>
                    <xdr:col>23</xdr:col>
                    <xdr:colOff>746760</xdr:colOff>
                    <xdr:row>178</xdr:row>
                    <xdr:rowOff>99060</xdr:rowOff>
                  </from>
                  <to>
                    <xdr:col>26</xdr:col>
                    <xdr:colOff>487680</xdr:colOff>
                    <xdr:row>179</xdr:row>
                    <xdr:rowOff>175260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3">
    <pageSetUpPr fitToPage="1"/>
  </sheetPr>
  <dimension ref="A1:AD201"/>
  <sheetViews>
    <sheetView showGridLines="0" zoomScaleNormal="100" workbookViewId="0">
      <pane ySplit="3" topLeftCell="A4" activePane="bottomLeft" state="frozen"/>
      <selection pane="bottomLeft"/>
    </sheetView>
  </sheetViews>
  <sheetFormatPr baseColWidth="10" defaultColWidth="11.44140625" defaultRowHeight="11.4"/>
  <cols>
    <col min="1" max="1" width="10.44140625" style="37" customWidth="1"/>
    <col min="2" max="2" width="7" style="37" customWidth="1"/>
    <col min="3" max="15" width="6.44140625" style="37" customWidth="1"/>
    <col min="16" max="17" width="3.88671875" style="37" customWidth="1"/>
    <col min="18" max="24" width="5.33203125" style="37" customWidth="1"/>
    <col min="25" max="27" width="5.5546875" style="149" hidden="1" customWidth="1"/>
    <col min="28" max="16384" width="11.44140625" style="37"/>
  </cols>
  <sheetData>
    <row r="1" spans="1:27" ht="15.75" customHeight="1">
      <c r="A1" s="65" t="s">
        <v>303</v>
      </c>
      <c r="B1" s="151"/>
      <c r="C1" s="151"/>
      <c r="D1" s="151"/>
      <c r="E1" s="151"/>
      <c r="F1" s="151"/>
      <c r="G1" s="151"/>
      <c r="H1" s="151"/>
      <c r="I1" s="151"/>
      <c r="J1" s="151"/>
      <c r="K1" s="151"/>
      <c r="L1" s="151"/>
      <c r="M1" s="151"/>
      <c r="N1" s="151"/>
      <c r="O1" s="151"/>
      <c r="P1" s="32"/>
      <c r="Q1" s="42" t="s">
        <v>299</v>
      </c>
    </row>
    <row r="2" spans="1:27" ht="13.2" customHeight="1">
      <c r="O2" s="1128" t="str">
        <f ca="1">Gebaeude!$I$2</f>
        <v>qP,vorh 33,8&lt;=38,5 kWh/(m²a)  |  HT',vorh 0,25&lt;=0,36 W/(m²K)</v>
      </c>
      <c r="P2" s="33"/>
      <c r="Q2" s="33"/>
      <c r="R2" s="33"/>
      <c r="S2" s="33"/>
      <c r="T2" s="33"/>
      <c r="U2" s="33"/>
      <c r="V2" s="33"/>
      <c r="W2" s="33"/>
      <c r="X2" s="33"/>
    </row>
    <row r="3" spans="1:27" ht="13.8">
      <c r="A3" s="2" t="s">
        <v>32</v>
      </c>
      <c r="B3" s="18"/>
      <c r="C3" s="18"/>
      <c r="D3" s="134" t="str">
        <f>Gebaeude!$E$4</f>
        <v>Beispielgebäude Wohnhaus</v>
      </c>
      <c r="E3" s="18"/>
      <c r="G3" s="147"/>
      <c r="L3" s="516"/>
      <c r="M3" s="516"/>
      <c r="N3" s="526"/>
      <c r="O3" s="516"/>
      <c r="P3" s="516"/>
      <c r="Y3" s="37"/>
      <c r="Z3" s="37"/>
      <c r="AA3" s="37"/>
    </row>
    <row r="4" spans="1:27" ht="15.75" customHeight="1">
      <c r="A4" s="150" t="s">
        <v>304</v>
      </c>
      <c r="B4" s="151"/>
      <c r="C4" s="151"/>
      <c r="D4" s="151"/>
      <c r="E4" s="151"/>
      <c r="F4" s="151"/>
      <c r="G4" s="151"/>
      <c r="H4" s="151"/>
      <c r="I4" s="151"/>
      <c r="J4" s="151"/>
      <c r="K4" s="151"/>
      <c r="L4" s="151"/>
      <c r="M4" s="151"/>
      <c r="N4" s="151"/>
      <c r="O4" s="151"/>
      <c r="P4" s="33"/>
      <c r="Q4" s="148">
        <f>ROW(A5)</f>
        <v>5</v>
      </c>
      <c r="R4" s="148">
        <f>ROW(B34)</f>
        <v>34</v>
      </c>
      <c r="S4" s="148"/>
      <c r="T4" s="148"/>
      <c r="U4" s="148"/>
      <c r="V4" s="148"/>
      <c r="W4" s="148"/>
      <c r="X4" s="148"/>
    </row>
    <row r="5" spans="1:27" ht="15.75" customHeight="1">
      <c r="A5" s="25"/>
      <c r="C5" s="490">
        <v>5</v>
      </c>
      <c r="D5" s="490">
        <v>6</v>
      </c>
      <c r="E5" s="490">
        <v>7</v>
      </c>
      <c r="F5" s="490">
        <v>8</v>
      </c>
      <c r="G5" s="490">
        <v>9</v>
      </c>
      <c r="H5" s="490">
        <v>10</v>
      </c>
      <c r="I5" s="490">
        <v>11</v>
      </c>
      <c r="J5" s="490">
        <v>12</v>
      </c>
      <c r="K5" s="490">
        <v>13</v>
      </c>
      <c r="L5" s="490">
        <v>14</v>
      </c>
      <c r="M5" s="490">
        <v>15</v>
      </c>
      <c r="N5" s="490">
        <v>16</v>
      </c>
      <c r="O5" s="490">
        <v>1</v>
      </c>
      <c r="P5" s="33"/>
      <c r="Q5" s="148"/>
      <c r="R5" s="148"/>
      <c r="S5" s="148"/>
      <c r="T5" s="148"/>
      <c r="U5" s="148"/>
      <c r="V5" s="148"/>
      <c r="W5" s="148"/>
      <c r="X5" s="148"/>
      <c r="Y5" s="37"/>
      <c r="Z5" s="37"/>
      <c r="AA5" s="37"/>
    </row>
    <row r="6" spans="1:27" ht="15.75" customHeight="1">
      <c r="A6" s="37" t="s">
        <v>1800</v>
      </c>
      <c r="C6" s="418" t="s">
        <v>116</v>
      </c>
      <c r="D6" s="418" t="s">
        <v>117</v>
      </c>
      <c r="E6" s="418" t="s">
        <v>118</v>
      </c>
      <c r="F6" s="418" t="s">
        <v>119</v>
      </c>
      <c r="G6" s="418" t="s">
        <v>120</v>
      </c>
      <c r="H6" s="418" t="s">
        <v>121</v>
      </c>
      <c r="I6" s="418" t="s">
        <v>122</v>
      </c>
      <c r="J6" s="418" t="s">
        <v>123</v>
      </c>
      <c r="K6" s="418" t="s">
        <v>124</v>
      </c>
      <c r="L6" s="418" t="s">
        <v>125</v>
      </c>
      <c r="M6" s="418" t="s">
        <v>126</v>
      </c>
      <c r="N6" s="418" t="s">
        <v>127</v>
      </c>
      <c r="O6" s="776" t="s">
        <v>309</v>
      </c>
    </row>
    <row r="7" spans="1:27" ht="15.75" customHeight="1">
      <c r="B7" s="34" t="s">
        <v>306</v>
      </c>
      <c r="C7" s="39">
        <f ca="1">INDEX(Gebaeude!$I:$X,MATCH($Y7,Gebaeude!$L:$L,0),C$5)</f>
        <v>1853.0346988447284</v>
      </c>
      <c r="D7" s="39">
        <f ca="1">INDEX(Gebaeude!$I:$X,MATCH($Y7,Gebaeude!$L:$L,0),D$5)</f>
        <v>1541.1238371941781</v>
      </c>
      <c r="E7" s="39">
        <f ca="1">INDEX(Gebaeude!$I:$X,MATCH($Y7,Gebaeude!$L:$L,0),E$5)</f>
        <v>953.61768220406793</v>
      </c>
      <c r="F7" s="39">
        <f ca="1">INDEX(Gebaeude!$I:$X,MATCH($Y7,Gebaeude!$L:$L,0),F$5)</f>
        <v>65.922568763448908</v>
      </c>
      <c r="G7" s="39">
        <f ca="1">INDEX(Gebaeude!$I:$X,MATCH($Y7,Gebaeude!$L:$L,0),G$5)</f>
        <v>5.5374794971044139E-2</v>
      </c>
      <c r="H7" s="39">
        <f ca="1">INDEX(Gebaeude!$I:$X,MATCH($Y7,Gebaeude!$L:$L,0),H$5)</f>
        <v>3.6988813576499524E-6</v>
      </c>
      <c r="I7" s="39">
        <f ca="1">INDEX(Gebaeude!$I:$X,MATCH($Y7,Gebaeude!$L:$L,0),I$5)</f>
        <v>0</v>
      </c>
      <c r="J7" s="39">
        <f ca="1">INDEX(Gebaeude!$I:$X,MATCH($Y7,Gebaeude!$L:$L,0),J$5)</f>
        <v>7.1054273576010019E-15</v>
      </c>
      <c r="K7" s="39">
        <f ca="1">INDEX(Gebaeude!$I:$X,MATCH($Y7,Gebaeude!$L:$L,0),K$5)</f>
        <v>0.24642908936004915</v>
      </c>
      <c r="L7" s="39">
        <f ca="1">INDEX(Gebaeude!$I:$X,MATCH($Y7,Gebaeude!$L:$L,0),L$5)</f>
        <v>267.47724548382575</v>
      </c>
      <c r="M7" s="39">
        <f ca="1">INDEX(Gebaeude!$I:$X,MATCH($Y7,Gebaeude!$L:$L,0),M$5)</f>
        <v>1371.1807751208505</v>
      </c>
      <c r="N7" s="39">
        <f ca="1">INDEX(Gebaeude!$I:$X,MATCH($Y7,Gebaeude!$L:$L,0),N$5)</f>
        <v>1993.755855995526</v>
      </c>
      <c r="O7" s="40">
        <f ca="1">INDEX(Gebaeude!$I:$X,MATCH($Y7,Gebaeude!$L:$L,0),O$5)</f>
        <v>8046.414471189838</v>
      </c>
      <c r="P7" s="33"/>
      <c r="Q7" s="33"/>
      <c r="Y7" s="207" t="s">
        <v>314</v>
      </c>
    </row>
    <row r="8" spans="1:27" ht="15.75" customHeight="1">
      <c r="B8" s="35" t="s">
        <v>307</v>
      </c>
      <c r="C8" s="39">
        <f ca="1">INDEX(Gebaeude!$I:$X,MATCH($Y8,Gebaeude!$L:$L,0),C$5)</f>
        <v>2893.8064892609609</v>
      </c>
      <c r="D8" s="39">
        <f ca="1">INDEX(Gebaeude!$I:$X,MATCH($Y8,Gebaeude!$L:$L,0),D$5)</f>
        <v>2483.4356117866737</v>
      </c>
      <c r="E8" s="39">
        <f ca="1">INDEX(Gebaeude!$I:$X,MATCH($Y8,Gebaeude!$L:$L,0),E$5)</f>
        <v>2283.407186325504</v>
      </c>
      <c r="F8" s="39">
        <f ca="1">INDEX(Gebaeude!$I:$X,MATCH($Y8,Gebaeude!$L:$L,0),F$5)</f>
        <v>1481.0725760837468</v>
      </c>
      <c r="G8" s="39">
        <f ca="1">INDEX(Gebaeude!$I:$X,MATCH($Y8,Gebaeude!$L:$L,0),G$5)</f>
        <v>736.39121615966769</v>
      </c>
      <c r="H8" s="39">
        <f ca="1">INDEX(Gebaeude!$I:$X,MATCH($Y8,Gebaeude!$L:$L,0),H$5)</f>
        <v>303.28359675870229</v>
      </c>
      <c r="I8" s="39">
        <f ca="1">INDEX(Gebaeude!$I:$X,MATCH($Y8,Gebaeude!$L:$L,0),I$5)</f>
        <v>-48.004576642742848</v>
      </c>
      <c r="J8" s="39">
        <f ca="1">INDEX(Gebaeude!$I:$X,MATCH($Y8,Gebaeude!$L:$L,0),J$5)</f>
        <v>27.181547672999642</v>
      </c>
      <c r="K8" s="39">
        <f ca="1">INDEX(Gebaeude!$I:$X,MATCH($Y8,Gebaeude!$L:$L,0),K$5)</f>
        <v>709.33617598736191</v>
      </c>
      <c r="L8" s="39">
        <f ca="1">INDEX(Gebaeude!$I:$X,MATCH($Y8,Gebaeude!$L:$L,0),L$5)</f>
        <v>1520.1759550173037</v>
      </c>
      <c r="M8" s="39">
        <f ca="1">INDEX(Gebaeude!$I:$X,MATCH($Y8,Gebaeude!$L:$L,0),M$5)</f>
        <v>2328.111022194742</v>
      </c>
      <c r="N8" s="39">
        <f ca="1">INDEX(Gebaeude!$I:$X,MATCH($Y8,Gebaeude!$L:$L,0),N$5)</f>
        <v>2917.5918495714068</v>
      </c>
      <c r="O8" s="40">
        <f ca="1">INDEX(Gebaeude!$I:$X,MATCH($Y8,Gebaeude!$L:$L,0),O$5)</f>
        <v>17635.788650176324</v>
      </c>
      <c r="P8" s="33"/>
      <c r="Q8" s="33"/>
      <c r="Y8" s="385" t="s">
        <v>320</v>
      </c>
    </row>
    <row r="9" spans="1:27" ht="15.75" customHeight="1">
      <c r="B9" s="35" t="s">
        <v>308</v>
      </c>
      <c r="C9" s="39">
        <f ca="1">INDEX(Gebaeude!$I:$X,MATCH($Y9,Gebaeude!$L:$L,0),C$5)</f>
        <v>1040.7876917976</v>
      </c>
      <c r="D9" s="39">
        <f ca="1">INDEX(Gebaeude!$I:$X,MATCH($Y9,Gebaeude!$L:$L,0),D$5)</f>
        <v>942.33613844160004</v>
      </c>
      <c r="E9" s="39">
        <f ca="1">INDEX(Gebaeude!$I:$X,MATCH($Y9,Gebaeude!$L:$L,0),E$5)</f>
        <v>1331.8232846400001</v>
      </c>
      <c r="F9" s="39">
        <f ca="1">INDEX(Gebaeude!$I:$X,MATCH($Y9,Gebaeude!$L:$L,0),F$5)</f>
        <v>1663.929457056</v>
      </c>
      <c r="G9" s="39">
        <f ca="1">INDEX(Gebaeude!$I:$X,MATCH($Y9,Gebaeude!$L:$L,0),G$5)</f>
        <v>1739.1738453480002</v>
      </c>
      <c r="H9" s="39">
        <f ca="1">INDEX(Gebaeude!$I:$X,MATCH($Y9,Gebaeude!$L:$L,0),H$5)</f>
        <v>1714.2261763680001</v>
      </c>
      <c r="I9" s="39">
        <f ca="1">INDEX(Gebaeude!$I:$X,MATCH($Y9,Gebaeude!$L:$L,0),I$5)</f>
        <v>1684.2291979680001</v>
      </c>
      <c r="J9" s="39">
        <f ca="1">INDEX(Gebaeude!$I:$X,MATCH($Y9,Gebaeude!$L:$L,0),J$5)</f>
        <v>1616.2766987688001</v>
      </c>
      <c r="K9" s="39">
        <f ca="1">INDEX(Gebaeude!$I:$X,MATCH($Y9,Gebaeude!$L:$L,0),K$5)</f>
        <v>1427.4119797200001</v>
      </c>
      <c r="L9" s="39">
        <f ca="1">INDEX(Gebaeude!$I:$X,MATCH($Y9,Gebaeude!$L:$L,0),L$5)</f>
        <v>1296.0528100344002</v>
      </c>
      <c r="M9" s="39">
        <f ca="1">INDEX(Gebaeude!$I:$X,MATCH($Y9,Gebaeude!$L:$L,0),M$5)</f>
        <v>956.98424980800007</v>
      </c>
      <c r="N9" s="39">
        <f ca="1">INDEX(Gebaeude!$I:$X,MATCH($Y9,Gebaeude!$L:$L,0),N$5)</f>
        <v>923.83999411680009</v>
      </c>
      <c r="O9" s="40">
        <f ca="1">INDEX(Gebaeude!$I:$X,MATCH($Y9,Gebaeude!$L:$L,0),O$5)</f>
        <v>16337.0715240672</v>
      </c>
      <c r="Y9" s="207" t="s">
        <v>315</v>
      </c>
    </row>
    <row r="10" spans="1:27" ht="15.75" customHeight="1">
      <c r="B10" s="36" t="s">
        <v>305</v>
      </c>
      <c r="C10" s="37">
        <f ca="1">INDEX(Gebaeude!$I:$X,MATCH($Y10,Gebaeude!$L:$L,0),C$5)</f>
        <v>0.99998472178188413</v>
      </c>
      <c r="D10" s="37">
        <f ca="1">INDEX(Gebaeude!$I:$X,MATCH($Y10,Gebaeude!$L:$L,0),D$5)</f>
        <v>0.99997414526716033</v>
      </c>
      <c r="E10" s="37">
        <f ca="1">INDEX(Gebaeude!$I:$X,MATCH($Y10,Gebaeude!$L:$L,0),E$5)</f>
        <v>0.99847293515437086</v>
      </c>
      <c r="F10" s="37">
        <f ca="1">INDEX(Gebaeude!$I:$X,MATCH($Y10,Gebaeude!$L:$L,0),F$5)</f>
        <v>0.85048678074618078</v>
      </c>
      <c r="G10" s="37">
        <f ca="1">INDEX(Gebaeude!$I:$X,MATCH($Y10,Gebaeude!$L:$L,0),G$5)</f>
        <v>0.42338254070130604</v>
      </c>
      <c r="H10" s="37">
        <f ca="1">INDEX(Gebaeude!$I:$X,MATCH($Y10,Gebaeude!$L:$L,0),H$5)</f>
        <v>0.17692157385112395</v>
      </c>
      <c r="I10" s="37">
        <f ca="1">INDEX(Gebaeude!$I:$X,MATCH($Y10,Gebaeude!$L:$L,0),I$5)</f>
        <v>0</v>
      </c>
      <c r="J10" s="37">
        <f ca="1">INDEX(Gebaeude!$I:$X,MATCH($Y10,Gebaeude!$L:$L,0),J$5)</f>
        <v>1.6817385101019645E-2</v>
      </c>
      <c r="K10" s="37">
        <f ca="1">INDEX(Gebaeude!$I:$X,MATCH($Y10,Gebaeude!$L:$L,0),K$5)</f>
        <v>0.49676600517048786</v>
      </c>
      <c r="L10" s="37">
        <f ca="1">INDEX(Gebaeude!$I:$X,MATCH($Y10,Gebaeude!$L:$L,0),L$5)</f>
        <v>0.96654912503158619</v>
      </c>
      <c r="M10" s="37">
        <f ca="1">INDEX(Gebaeude!$I:$X,MATCH($Y10,Gebaeude!$L:$L,0),M$5)</f>
        <v>0.99994356988203359</v>
      </c>
      <c r="N10" s="37">
        <f ca="1">INDEX(Gebaeude!$I:$X,MATCH($Y10,Gebaeude!$L:$L,0),N$5)</f>
        <v>0.99999566966039044</v>
      </c>
      <c r="O10" s="38"/>
      <c r="Y10" s="207" t="s">
        <v>310</v>
      </c>
    </row>
    <row r="11" spans="1:27" ht="15.75" customHeight="1">
      <c r="A11" s="46" t="s">
        <v>1801</v>
      </c>
      <c r="B11" s="487"/>
      <c r="C11" s="777" t="s">
        <v>116</v>
      </c>
      <c r="D11" s="777" t="s">
        <v>117</v>
      </c>
      <c r="E11" s="777" t="s">
        <v>118</v>
      </c>
      <c r="F11" s="777" t="s">
        <v>119</v>
      </c>
      <c r="G11" s="777" t="s">
        <v>120</v>
      </c>
      <c r="H11" s="777" t="s">
        <v>121</v>
      </c>
      <c r="I11" s="777" t="s">
        <v>122</v>
      </c>
      <c r="J11" s="777" t="s">
        <v>123</v>
      </c>
      <c r="K11" s="777" t="s">
        <v>124</v>
      </c>
      <c r="L11" s="777" t="s">
        <v>125</v>
      </c>
      <c r="M11" s="777" t="s">
        <v>126</v>
      </c>
      <c r="N11" s="777" t="s">
        <v>127</v>
      </c>
      <c r="O11" s="778" t="s">
        <v>309</v>
      </c>
      <c r="Y11" s="207"/>
    </row>
    <row r="12" spans="1:27" ht="15.75" customHeight="1">
      <c r="A12" s="46"/>
      <c r="B12" s="488" t="s">
        <v>2305</v>
      </c>
      <c r="C12" s="384">
        <f ca="1">INDEX(Referenz!$I:$X,MATCH($Y7,Referenz!$L:$L,0),C$5)</f>
        <v>2342.6183540471816</v>
      </c>
      <c r="D12" s="384">
        <f ca="1">INDEX(Referenz!$I:$X,MATCH($Y7,Referenz!$L:$L,0),D$5)</f>
        <v>1959.54461556047</v>
      </c>
      <c r="E12" s="384">
        <f ca="1">INDEX(Referenz!$I:$X,MATCH($Y7,Referenz!$L:$L,0),E$5)</f>
        <v>1292.7738509916835</v>
      </c>
      <c r="F12" s="384">
        <f ca="1">INDEX(Referenz!$I:$X,MATCH($Y7,Referenz!$L:$L,0),F$5)</f>
        <v>159.09738060749237</v>
      </c>
      <c r="G12" s="384">
        <f ca="1">INDEX(Referenz!$I:$X,MATCH($Y7,Referenz!$L:$L,0),G$5)</f>
        <v>0.48848015354519703</v>
      </c>
      <c r="H12" s="384">
        <f ca="1">INDEX(Referenz!$I:$X,MATCH($Y7,Referenz!$L:$L,0),H$5)</f>
        <v>1.1606278587805718E-4</v>
      </c>
      <c r="I12" s="384">
        <f ca="1">INDEX(Referenz!$I:$X,MATCH($Y7,Referenz!$L:$L,0),I$5)</f>
        <v>0</v>
      </c>
      <c r="J12" s="384">
        <f ca="1">INDEX(Referenz!$I:$X,MATCH($Y7,Referenz!$L:$L,0),J$5)</f>
        <v>0</v>
      </c>
      <c r="K12" s="384">
        <f ca="1">INDEX(Referenz!$I:$X,MATCH($Y7,Referenz!$L:$L,0),K$5)</f>
        <v>1.8352983636243607</v>
      </c>
      <c r="L12" s="384">
        <f ca="1">INDEX(Referenz!$I:$X,MATCH($Y7,Referenz!$L:$L,0),L$5)</f>
        <v>460.38828380561472</v>
      </c>
      <c r="M12" s="384">
        <f ca="1">INDEX(Referenz!$I:$X,MATCH($Y7,Referenz!$L:$L,0),M$5)</f>
        <v>1766.6298344007319</v>
      </c>
      <c r="N12" s="384">
        <f ca="1">INDEX(Referenz!$I:$X,MATCH($Y7,Referenz!$L:$L,0),N$5)</f>
        <v>2503.7389042450395</v>
      </c>
      <c r="O12" s="382">
        <f ca="1">INDEX(Referenz!$I:$X,MATCH($Y7,Referenz!$L:$L,0),O$5)</f>
        <v>10487.115118238169</v>
      </c>
      <c r="P12" s="33"/>
      <c r="Q12" s="33"/>
      <c r="Y12" s="207"/>
    </row>
    <row r="13" spans="1:27" ht="15.75" customHeight="1">
      <c r="A13" s="46"/>
      <c r="B13" s="489" t="s">
        <v>2306</v>
      </c>
      <c r="C13" s="384">
        <f ca="1">INDEX(Referenz!$I:$X,MATCH($Y8,Referenz!$L:$L,0),C$5)</f>
        <v>3415.8259287229221</v>
      </c>
      <c r="D13" s="384">
        <f ca="1">INDEX(Referenz!$I:$X,MATCH($Y8,Referenz!$L:$L,0),D$5)</f>
        <v>2931.4505848774452</v>
      </c>
      <c r="E13" s="384">
        <f ca="1">INDEX(Referenz!$I:$X,MATCH($Y8,Referenz!$L:$L,0),E$5)</f>
        <v>2693.4980487484459</v>
      </c>
      <c r="F13" s="384">
        <f ca="1">INDEX(Referenz!$I:$X,MATCH($Y8,Referenz!$L:$L,0),F$5)</f>
        <v>1743.9341870328972</v>
      </c>
      <c r="G13" s="384">
        <f ca="1">INDEX(Referenz!$I:$X,MATCH($Y8,Referenz!$L:$L,0),G$5)</f>
        <v>865.17743931248958</v>
      </c>
      <c r="H13" s="384">
        <f ca="1">INDEX(Referenz!$I:$X,MATCH($Y8,Referenz!$L:$L,0),H$5)</f>
        <v>354.07710443960639</v>
      </c>
      <c r="I13" s="384">
        <f ca="1">INDEX(Referenz!$I:$X,MATCH($Y8,Referenz!$L:$L,0),I$5)</f>
        <v>-60.065277838080007</v>
      </c>
      <c r="J13" s="384">
        <f ca="1">INDEX(Referenz!$I:$X,MATCH($Y8,Referenz!$L:$L,0),J$5)</f>
        <v>28.816293942217563</v>
      </c>
      <c r="K13" s="384">
        <f ca="1">INDEX(Referenz!$I:$X,MATCH($Y8,Referenz!$L:$L,0),K$5)</f>
        <v>834.65997989909135</v>
      </c>
      <c r="L13" s="384">
        <f ca="1">INDEX(Referenz!$I:$X,MATCH($Y8,Referenz!$L:$L,0),L$5)</f>
        <v>1792.4672270719973</v>
      </c>
      <c r="M13" s="384">
        <f ca="1">INDEX(Referenz!$I:$X,MATCH($Y8,Referenz!$L:$L,0),M$5)</f>
        <v>2748.3129967428272</v>
      </c>
      <c r="N13" s="384">
        <f ca="1">INDEX(Referenz!$I:$X,MATCH($Y8,Referenz!$L:$L,0),N$5)</f>
        <v>3444.5702780409702</v>
      </c>
      <c r="O13" s="382">
        <f ca="1">INDEX(Referenz!$I:$X,MATCH($Y8,Referenz!$L:$L,0),O$5)</f>
        <v>20792.72479099283</v>
      </c>
      <c r="P13" s="33"/>
      <c r="Q13" s="33"/>
      <c r="Y13" s="385"/>
    </row>
    <row r="14" spans="1:27" ht="15.75" customHeight="1">
      <c r="A14" s="46"/>
      <c r="B14" s="489" t="s">
        <v>2307</v>
      </c>
      <c r="C14" s="384">
        <f ca="1">INDEX(Referenz!$I:$X,MATCH($Y9,Referenz!$L:$L,0),C$5)</f>
        <v>1073.231304336</v>
      </c>
      <c r="D14" s="384">
        <f ca="1">INDEX(Referenz!$I:$X,MATCH($Y9,Referenz!$L:$L,0),D$5)</f>
        <v>971.93983622400003</v>
      </c>
      <c r="E14" s="384">
        <f ca="1">INDEX(Referenz!$I:$X,MATCH($Y9,Referenz!$L:$L,0),E$5)</f>
        <v>1402.7055603840001</v>
      </c>
      <c r="F14" s="384">
        <f ca="1">INDEX(Referenz!$I:$X,MATCH($Y9,Referenz!$L:$L,0),F$5)</f>
        <v>1782.0625190400001</v>
      </c>
      <c r="G14" s="384">
        <f ca="1">INDEX(Referenz!$I:$X,MATCH($Y9,Referenz!$L:$L,0),G$5)</f>
        <v>1863.857138544</v>
      </c>
      <c r="H14" s="384">
        <f ca="1">INDEX(Referenz!$I:$X,MATCH($Y9,Referenz!$L:$L,0),H$5)</f>
        <v>1839.00220128</v>
      </c>
      <c r="I14" s="384">
        <f ca="1">INDEX(Referenz!$I:$X,MATCH($Y9,Referenz!$L:$L,0),I$5)</f>
        <v>1801.6556509440002</v>
      </c>
      <c r="J14" s="384">
        <f ca="1">INDEX(Referenz!$I:$X,MATCH($Y9,Referenz!$L:$L,0),J$5)</f>
        <v>1724.72829336</v>
      </c>
      <c r="K14" s="384">
        <f ca="1">INDEX(Referenz!$I:$X,MATCH($Y9,Referenz!$L:$L,0),K$5)</f>
        <v>1514.3068843200001</v>
      </c>
      <c r="L14" s="384">
        <f ca="1">INDEX(Referenz!$I:$X,MATCH($Y9,Referenz!$L:$L,0),L$5)</f>
        <v>1362.210683472</v>
      </c>
      <c r="M14" s="384">
        <f ca="1">INDEX(Referenz!$I:$X,MATCH($Y9,Referenz!$L:$L,0),M$5)</f>
        <v>981.74719008000011</v>
      </c>
      <c r="N14" s="384">
        <f ca="1">INDEX(Referenz!$I:$X,MATCH($Y9,Referenz!$L:$L,0),N$5)</f>
        <v>940.83768432000011</v>
      </c>
      <c r="O14" s="382">
        <f ca="1">INDEX(Referenz!$I:$X,MATCH($Y9,Referenz!$L:$L,0),O$5)</f>
        <v>17258.284946304</v>
      </c>
      <c r="Y14" s="207"/>
    </row>
    <row r="15" spans="1:27" ht="15.75" customHeight="1">
      <c r="A15" s="46"/>
      <c r="B15" s="487" t="s">
        <v>2308</v>
      </c>
      <c r="C15" s="46">
        <f ca="1">INDEX(Referenz!$I:$X,MATCH($Y10,Referenz!$L:$L,0),C$5)</f>
        <v>0.9999778895190965</v>
      </c>
      <c r="D15" s="46">
        <f ca="1">INDEX(Referenz!$I:$X,MATCH($Y10,Referenz!$L:$L,0),D$5)</f>
        <v>0.99996515534628516</v>
      </c>
      <c r="E15" s="46">
        <f ca="1">INDEX(Referenz!$I:$X,MATCH($Y10,Referenz!$L:$L,0),E$5)</f>
        <v>0.99858747075423626</v>
      </c>
      <c r="F15" s="46">
        <f ca="1">INDEX(Referenz!$I:$X,MATCH($Y10,Referenz!$L:$L,0),F$5)</f>
        <v>0.88932727639609355</v>
      </c>
      <c r="G15" s="46">
        <f ca="1">INDEX(Referenz!$I:$X,MATCH($Y10,Referenz!$L:$L,0),G$5)</f>
        <v>0.46392448287877819</v>
      </c>
      <c r="H15" s="46">
        <f ca="1">INDEX(Referenz!$I:$X,MATCH($Y10,Referenz!$L:$L,0),H$5)</f>
        <v>0.19253755549089199</v>
      </c>
      <c r="I15" s="46">
        <f ca="1">INDEX(Referenz!$I:$X,MATCH($Y10,Referenz!$L:$L,0),I$5)</f>
        <v>0</v>
      </c>
      <c r="J15" s="46">
        <f ca="1">INDEX(Referenz!$I:$X,MATCH($Y10,Referenz!$L:$L,0),J$5)</f>
        <v>1.6707729590311079E-2</v>
      </c>
      <c r="K15" s="46">
        <f ca="1">INDEX(Referenz!$I:$X,MATCH($Y10,Referenz!$L:$L,0),K$5)</f>
        <v>0.54997087456909177</v>
      </c>
      <c r="L15" s="46">
        <f ca="1">INDEX(Referenz!$I:$X,MATCH($Y10,Referenz!$L:$L,0),L$5)</f>
        <v>0.9778802643590947</v>
      </c>
      <c r="M15" s="46">
        <f ca="1">INDEX(Referenz!$I:$X,MATCH($Y10,Referenz!$L:$L,0),M$5)</f>
        <v>0.99993478184755547</v>
      </c>
      <c r="N15" s="46">
        <f ca="1">INDEX(Referenz!$I:$X,MATCH($Y10,Referenz!$L:$L,0),N$5)</f>
        <v>0.99999329265379722</v>
      </c>
      <c r="O15" s="47"/>
      <c r="Y15" s="207"/>
    </row>
    <row r="16" spans="1:27" ht="15.75" customHeight="1">
      <c r="A16" s="37" t="s">
        <v>316</v>
      </c>
    </row>
    <row r="17" spans="1:15" ht="15.75" customHeight="1">
      <c r="B17" s="35" t="s">
        <v>324</v>
      </c>
      <c r="C17" s="41" t="s">
        <v>318</v>
      </c>
    </row>
    <row r="18" spans="1:15" ht="15.75" customHeight="1">
      <c r="B18" s="35" t="s">
        <v>307</v>
      </c>
      <c r="C18" s="37" t="s">
        <v>317</v>
      </c>
    </row>
    <row r="19" spans="1:15" ht="15.75" customHeight="1">
      <c r="B19" s="35" t="s">
        <v>308</v>
      </c>
      <c r="C19" s="37" t="s">
        <v>319</v>
      </c>
    </row>
    <row r="20" spans="1:15" ht="15.75" customHeight="1">
      <c r="B20" s="36" t="s">
        <v>305</v>
      </c>
      <c r="C20" s="37" t="s">
        <v>323</v>
      </c>
    </row>
    <row r="21" spans="1:15" ht="15.75" customHeight="1">
      <c r="A21" s="43"/>
      <c r="B21" s="43"/>
      <c r="C21" s="43"/>
      <c r="D21" s="43"/>
      <c r="E21" s="43"/>
      <c r="F21" s="43"/>
      <c r="G21" s="43"/>
      <c r="H21" s="43"/>
      <c r="I21" s="43"/>
      <c r="J21" s="43"/>
      <c r="K21" s="43"/>
      <c r="L21" s="43"/>
      <c r="M21" s="43"/>
      <c r="N21" s="43"/>
      <c r="O21" s="43"/>
    </row>
    <row r="22" spans="1:15" ht="15.75" customHeight="1">
      <c r="A22" s="43"/>
      <c r="B22" s="43"/>
      <c r="C22" s="43"/>
      <c r="D22" s="43"/>
      <c r="E22" s="43"/>
      <c r="F22" s="43"/>
      <c r="G22" s="43"/>
      <c r="H22" s="43"/>
      <c r="I22" s="43"/>
      <c r="J22" s="43"/>
      <c r="K22" s="43"/>
      <c r="L22" s="43"/>
      <c r="M22" s="43"/>
      <c r="N22" s="43"/>
      <c r="O22" s="43"/>
    </row>
    <row r="23" spans="1:15" ht="15.75" customHeight="1">
      <c r="A23" s="43"/>
      <c r="B23" s="43"/>
      <c r="C23" s="43"/>
      <c r="D23" s="43"/>
      <c r="E23" s="43"/>
      <c r="F23" s="43"/>
      <c r="G23" s="43"/>
      <c r="H23" s="43"/>
      <c r="I23" s="43"/>
      <c r="J23" s="43"/>
      <c r="K23" s="43"/>
      <c r="L23" s="43"/>
      <c r="M23" s="43"/>
      <c r="N23" s="43"/>
      <c r="O23" s="43"/>
    </row>
    <row r="24" spans="1:15" ht="15.75" customHeight="1">
      <c r="A24" s="43"/>
      <c r="B24" s="43"/>
      <c r="C24" s="43"/>
      <c r="D24" s="43"/>
      <c r="E24" s="43"/>
      <c r="F24" s="43"/>
      <c r="G24" s="43"/>
      <c r="H24" s="43"/>
      <c r="I24" s="43"/>
      <c r="J24" s="43"/>
      <c r="K24" s="43"/>
      <c r="L24" s="43"/>
      <c r="M24" s="43"/>
      <c r="N24" s="43"/>
      <c r="O24" s="43"/>
    </row>
    <row r="25" spans="1:15" ht="15.75" customHeight="1">
      <c r="A25" s="43"/>
      <c r="B25" s="43"/>
      <c r="C25" s="43"/>
      <c r="D25" s="43"/>
      <c r="E25" s="43"/>
      <c r="F25" s="43"/>
      <c r="G25" s="43"/>
      <c r="H25" s="43"/>
      <c r="I25" s="43"/>
      <c r="J25" s="43"/>
      <c r="K25" s="43"/>
      <c r="L25" s="43"/>
      <c r="M25" s="43"/>
      <c r="N25" s="43"/>
      <c r="O25" s="43"/>
    </row>
    <row r="26" spans="1:15" ht="15.75" customHeight="1">
      <c r="A26" s="43"/>
      <c r="B26" s="43"/>
      <c r="C26" s="43"/>
      <c r="D26" s="43"/>
      <c r="E26" s="43"/>
      <c r="F26" s="43"/>
      <c r="G26" s="43"/>
      <c r="H26" s="43"/>
      <c r="I26" s="43"/>
      <c r="J26" s="43"/>
      <c r="K26" s="43"/>
      <c r="L26" s="43"/>
      <c r="M26" s="43"/>
      <c r="N26" s="43"/>
      <c r="O26" s="43"/>
    </row>
    <row r="27" spans="1:15" ht="15.75" customHeight="1">
      <c r="A27" s="43"/>
      <c r="B27" s="43"/>
      <c r="C27" s="43"/>
      <c r="D27" s="43"/>
      <c r="E27" s="43"/>
      <c r="F27" s="43"/>
      <c r="G27" s="43"/>
      <c r="H27" s="43"/>
      <c r="I27" s="43"/>
      <c r="J27" s="43"/>
      <c r="K27" s="43"/>
      <c r="L27" s="43"/>
      <c r="M27" s="43"/>
      <c r="N27" s="43"/>
      <c r="O27" s="43"/>
    </row>
    <row r="28" spans="1:15" ht="15.75" customHeight="1">
      <c r="A28" s="43"/>
      <c r="B28" s="43"/>
      <c r="C28" s="43"/>
      <c r="D28" s="43"/>
      <c r="E28" s="43"/>
      <c r="F28" s="43"/>
      <c r="G28" s="43"/>
      <c r="H28" s="43"/>
      <c r="I28" s="43"/>
      <c r="J28" s="43"/>
      <c r="K28" s="43"/>
      <c r="L28" s="43"/>
      <c r="M28" s="43"/>
      <c r="N28" s="43"/>
      <c r="O28" s="43"/>
    </row>
    <row r="29" spans="1:15" ht="15.75" customHeight="1">
      <c r="A29" s="43"/>
      <c r="B29" s="43"/>
      <c r="C29" s="43"/>
      <c r="D29" s="43"/>
      <c r="E29" s="43"/>
      <c r="F29" s="43"/>
      <c r="G29" s="43"/>
      <c r="H29" s="43"/>
      <c r="I29" s="43"/>
      <c r="J29" s="43"/>
      <c r="K29" s="43"/>
      <c r="L29" s="43"/>
      <c r="M29" s="43"/>
      <c r="N29" s="43"/>
      <c r="O29" s="43"/>
    </row>
    <row r="30" spans="1:15" ht="15.75" customHeight="1">
      <c r="A30" s="43"/>
      <c r="B30" s="43"/>
      <c r="C30" s="43"/>
      <c r="D30" s="43"/>
      <c r="E30" s="43"/>
      <c r="F30" s="43"/>
      <c r="G30" s="43"/>
      <c r="H30" s="43"/>
      <c r="I30" s="43"/>
      <c r="J30" s="43"/>
      <c r="K30" s="43"/>
      <c r="L30" s="43"/>
      <c r="M30" s="43"/>
      <c r="N30" s="43"/>
      <c r="O30" s="43"/>
    </row>
    <row r="31" spans="1:15" ht="15.75" customHeight="1">
      <c r="A31" s="43"/>
      <c r="B31" s="43"/>
      <c r="C31" s="43"/>
      <c r="D31" s="43"/>
      <c r="E31" s="43"/>
      <c r="F31" s="43"/>
      <c r="G31" s="43"/>
      <c r="H31" s="43"/>
      <c r="I31" s="43"/>
      <c r="J31" s="43"/>
      <c r="K31" s="43"/>
      <c r="L31" s="43"/>
      <c r="M31" s="43"/>
      <c r="N31" s="43"/>
      <c r="O31" s="43"/>
    </row>
    <row r="32" spans="1:15" ht="15.75" customHeight="1">
      <c r="A32" s="44"/>
      <c r="B32" s="44"/>
      <c r="C32" s="44"/>
      <c r="D32" s="44"/>
      <c r="E32" s="44"/>
      <c r="F32" s="44"/>
      <c r="G32" s="44"/>
      <c r="H32" s="44"/>
      <c r="I32" s="44"/>
      <c r="J32" s="44"/>
      <c r="K32" s="44"/>
      <c r="L32" s="44"/>
      <c r="M32" s="44"/>
      <c r="N32" s="44"/>
      <c r="O32" s="44"/>
    </row>
    <row r="33" spans="1:27" ht="15.75" customHeight="1">
      <c r="A33" s="45"/>
      <c r="B33" s="45"/>
      <c r="C33" s="45"/>
      <c r="D33" s="45"/>
      <c r="E33" s="45"/>
      <c r="F33" s="45"/>
      <c r="G33" s="45"/>
      <c r="H33" s="45"/>
      <c r="I33" s="45"/>
      <c r="J33" s="45"/>
      <c r="K33" s="45"/>
      <c r="L33" s="45"/>
      <c r="M33" s="45"/>
      <c r="N33" s="45"/>
      <c r="O33" s="45"/>
    </row>
    <row r="34" spans="1:27" ht="15.75" customHeight="1"/>
    <row r="35" spans="1:27" ht="15.75" customHeight="1">
      <c r="P35" s="33"/>
      <c r="Q35" s="33"/>
      <c r="R35" s="33"/>
      <c r="S35" s="33"/>
      <c r="T35" s="33"/>
      <c r="U35" s="33"/>
      <c r="V35" s="33"/>
      <c r="W35" s="33"/>
      <c r="X35" s="33"/>
    </row>
    <row r="36" spans="1:27" ht="15.75" customHeight="1">
      <c r="A36" s="150" t="s">
        <v>1083</v>
      </c>
      <c r="B36" s="151"/>
      <c r="C36" s="151"/>
      <c r="D36" s="151"/>
      <c r="E36" s="166"/>
      <c r="F36" s="151"/>
      <c r="G36" s="151"/>
      <c r="H36" s="151"/>
      <c r="I36" s="151"/>
      <c r="J36" s="151"/>
      <c r="K36" s="151"/>
      <c r="L36" s="151"/>
      <c r="M36" s="151"/>
      <c r="N36" s="151"/>
      <c r="O36" s="151"/>
      <c r="P36" s="33"/>
      <c r="Q36" s="148">
        <f>ROW(A37)</f>
        <v>37</v>
      </c>
      <c r="R36" s="148">
        <f>ROW(A89)</f>
        <v>89</v>
      </c>
      <c r="S36" s="148"/>
      <c r="T36" s="148"/>
      <c r="U36" s="148"/>
      <c r="V36" s="148"/>
      <c r="W36" s="148"/>
      <c r="X36" s="148"/>
    </row>
    <row r="37" spans="1:27" ht="15.75" customHeight="1"/>
    <row r="38" spans="1:27" s="25" customFormat="1" ht="15.75" customHeight="1">
      <c r="A38" s="25" t="s">
        <v>325</v>
      </c>
      <c r="I38" s="25" t="s">
        <v>326</v>
      </c>
      <c r="Y38" s="491"/>
      <c r="Z38" s="491"/>
      <c r="AA38" s="491"/>
    </row>
    <row r="39" spans="1:27" ht="15.75" customHeight="1">
      <c r="E39" s="38" t="s">
        <v>344</v>
      </c>
      <c r="G39" s="47" t="s">
        <v>345</v>
      </c>
      <c r="L39" s="38" t="s">
        <v>343</v>
      </c>
      <c r="N39" s="47" t="s">
        <v>343</v>
      </c>
    </row>
    <row r="40" spans="1:27" ht="15.75" customHeight="1">
      <c r="E40" s="418" t="s">
        <v>1800</v>
      </c>
      <c r="F40" s="418"/>
      <c r="G40" s="777" t="s">
        <v>1801</v>
      </c>
      <c r="L40" s="418" t="s">
        <v>1800</v>
      </c>
      <c r="M40" s="418"/>
      <c r="N40" s="777" t="s">
        <v>1801</v>
      </c>
    </row>
    <row r="41" spans="1:27" ht="15.75" customHeight="1">
      <c r="A41" s="37" t="s">
        <v>327</v>
      </c>
      <c r="D41" s="37" t="s">
        <v>328</v>
      </c>
      <c r="E41" s="48">
        <f ca="1">INDEX(Gebaeude!$I:$X,MATCH("HT "&amp;$D41,Gebaeude!$L:$L,0),3)</f>
        <v>30.211430214140368</v>
      </c>
      <c r="G41" s="377">
        <f ca="1">INDEX(Referenz!$I:$X,MATCH("HT "&amp;$D41,Referenz!$L:$L,0),3)</f>
        <v>40.12624000000001</v>
      </c>
      <c r="J41" s="37" t="str">
        <f ca="1">IF(Gebaeude!F18&gt;0,Gebaeude!B18,"")&amp;IF(Gebaeude!F18&gt;0," - "&amp;Gebaeude!C18,"")</f>
        <v>AW 1 - Nord</v>
      </c>
      <c r="L41" s="48">
        <f ca="1">IF(Y41&lt;&gt;"",INDEX(Gebaeude!$I:$X,MATCH("HT "&amp;$Y41,Gebaeude!$L:$L,0),1),"")</f>
        <v>7.5445936180646775</v>
      </c>
      <c r="N41" s="377">
        <f ca="1">IF(Y41&lt;&gt;"",INDEX(Referenz!$I:$X,MATCH("HT "&amp;$Y41,Referenz!$L:$L,0),1),"")</f>
        <v>10.020584000000001</v>
      </c>
      <c r="Y41" s="207" t="str">
        <f ca="1">IF(Gebaeude!F18&gt;0,Gebaeude!B18,"")</f>
        <v>AW 1</v>
      </c>
    </row>
    <row r="42" spans="1:27" ht="15.75" customHeight="1">
      <c r="A42" s="37" t="s">
        <v>329</v>
      </c>
      <c r="D42" s="37" t="s">
        <v>330</v>
      </c>
      <c r="E42" s="48">
        <f ca="1">INDEX(Gebaeude!$I:$X,MATCH("HT "&amp;$D42,Gebaeude!$L:$L,0),3)</f>
        <v>29.654999999999998</v>
      </c>
      <c r="G42" s="377">
        <f ca="1">INDEX(Referenz!$I:$X,MATCH("HT "&amp;$D42,Referenz!$L:$L,0),3)</f>
        <v>42.835000000000001</v>
      </c>
      <c r="J42" s="37" t="str">
        <f ca="1">IF(Gebaeude!F19&gt;0,Gebaeude!B19,"")&amp;IF(Gebaeude!F19&gt;0," - "&amp;Gebaeude!C19,"")</f>
        <v>AW 2 - West</v>
      </c>
      <c r="L42" s="48">
        <f ca="1">IF(Y42&lt;&gt;"",INDEX(Gebaeude!$I:$X,MATCH("HT "&amp;$Y42,Gebaeude!$L:$L,0),1),"")</f>
        <v>7.786693196998991</v>
      </c>
      <c r="N42" s="377">
        <f ca="1">IF(Y42&lt;&gt;"",INDEX(Referenz!$I:$X,MATCH("HT "&amp;$Y42,Referenz!$L:$L,0),1),"")</f>
        <v>10.342136</v>
      </c>
      <c r="Y42" s="207" t="str">
        <f ca="1">IF(Gebaeude!F19&gt;0,Gebaeude!B19,"")</f>
        <v>AW 2</v>
      </c>
    </row>
    <row r="43" spans="1:27" ht="15.75" customHeight="1">
      <c r="A43" s="37" t="s">
        <v>331</v>
      </c>
      <c r="D43" s="37" t="s">
        <v>332</v>
      </c>
      <c r="E43" s="48">
        <f ca="1">INDEX(Gebaeude!$I:$X,MATCH("HT "&amp;$D43,Gebaeude!$L:$L,0),3)</f>
        <v>6.8580000000000005</v>
      </c>
      <c r="G43" s="377">
        <f ca="1">INDEX(Referenz!$I:$X,MATCH("HT "&amp;$D43,Referenz!$L:$L,0),3)</f>
        <v>6.8580000000000005</v>
      </c>
      <c r="J43" s="37" t="str">
        <f ca="1">IF(Gebaeude!F20&gt;0,Gebaeude!B20,"")&amp;IF(Gebaeude!F20&gt;0," - "&amp;Gebaeude!C20,"")</f>
        <v>AW 3 - Süd</v>
      </c>
      <c r="L43" s="48">
        <f ca="1">IF(Y43&lt;&gt;"",INDEX(Gebaeude!$I:$X,MATCH("HT "&amp;$Y43,Gebaeude!$L:$L,0),1),"")</f>
        <v>7.0491791192004847</v>
      </c>
      <c r="N43" s="377">
        <f ca="1">IF(Y43&lt;&gt;"",INDEX(Referenz!$I:$X,MATCH("HT "&amp;$Y43,Referenz!$L:$L,0),1),"")</f>
        <v>9.3625840000000036</v>
      </c>
      <c r="Y43" s="207" t="str">
        <f ca="1">IF(Gebaeude!F20&gt;0,Gebaeude!B20,"")</f>
        <v>AW 3</v>
      </c>
    </row>
    <row r="44" spans="1:27" ht="15.75" customHeight="1">
      <c r="A44" s="37" t="s">
        <v>351</v>
      </c>
      <c r="D44" s="37" t="s">
        <v>333</v>
      </c>
      <c r="E44" s="48">
        <f ca="1">INDEX(Gebaeude!$I:$X,MATCH("HT "&amp;$D44,Gebaeude!$L:$L,0),3)</f>
        <v>8.3503194928904119</v>
      </c>
      <c r="G44" s="377">
        <f ca="1">INDEX(Referenz!$I:$X,MATCH("HT "&amp;$D44,Referenz!$L:$L,0),3)</f>
        <v>9.363760000000001</v>
      </c>
      <c r="J44" s="37" t="str">
        <f ca="1">IF(Gebaeude!F21&gt;0,Gebaeude!B21,"")&amp;IF(Gebaeude!F21&gt;0," - "&amp;Gebaeude!C21,"")</f>
        <v>AW 4 - Ost</v>
      </c>
      <c r="L44" s="48">
        <f ca="1">IF(Y44&lt;&gt;"",INDEX(Gebaeude!$I:$X,MATCH("HT "&amp;$Y44,Gebaeude!$L:$L,0),1),"")</f>
        <v>7.8309642798762171</v>
      </c>
      <c r="N44" s="377">
        <f ca="1">IF(Y44&lt;&gt;"",INDEX(Referenz!$I:$X,MATCH("HT "&amp;$Y44,Referenz!$L:$L,0),1),"")</f>
        <v>10.400936000000002</v>
      </c>
      <c r="Y44" s="207" t="str">
        <f ca="1">IF(Gebaeude!F21&gt;0,Gebaeude!B21,"")</f>
        <v>AW 4</v>
      </c>
    </row>
    <row r="45" spans="1:27" ht="15.75" customHeight="1">
      <c r="A45" s="37" t="s">
        <v>352</v>
      </c>
      <c r="D45" s="37" t="s">
        <v>353</v>
      </c>
      <c r="E45" s="48">
        <f ca="1">INDEX(Gebaeude!$I:$X,MATCH("HT "&amp;$D45,Gebaeude!$L:$L,0),3)</f>
        <v>0</v>
      </c>
      <c r="G45" s="377">
        <f ca="1">INDEX(Referenz!$I:$X,MATCH("HT "&amp;$D45,Referenz!$L:$L,0),3)</f>
        <v>0</v>
      </c>
      <c r="J45" s="37" t="str">
        <f ca="1">IF(Gebaeude!F22&gt;0,Gebaeude!B22,"")&amp;IF(Gebaeude!F22&gt;0," - "&amp;Gebaeude!C22,"")</f>
        <v/>
      </c>
      <c r="L45" s="48" t="str">
        <f ca="1">IF(Y45&lt;&gt;"",INDEX(Gebaeude!$I:$X,MATCH("HT "&amp;$Y45,Gebaeude!$L:$L,0),1),"")</f>
        <v/>
      </c>
      <c r="N45" s="377" t="str">
        <f ca="1">IF(Y45&lt;&gt;"",INDEX(Referenz!$I:$X,MATCH("HT "&amp;$Y45,Referenz!$L:$L,0),1),"")</f>
        <v/>
      </c>
      <c r="Y45" s="207" t="str">
        <f ca="1">IF(Gebaeude!F22&gt;0,Gebaeude!B22,"")</f>
        <v/>
      </c>
    </row>
    <row r="46" spans="1:27" ht="15.75" customHeight="1">
      <c r="A46" s="37" t="s">
        <v>354</v>
      </c>
      <c r="D46" s="37" t="s">
        <v>355</v>
      </c>
      <c r="E46" s="48">
        <f ca="1">INDEX(Gebaeude!$I:$X,MATCH("HT "&amp;$D46,Gebaeude!$L:$L,0),3)</f>
        <v>9.0562308066258961</v>
      </c>
      <c r="G46" s="377">
        <f ca="1">INDEX(Referenz!$I:$X,MATCH("HT "&amp;$D46,Referenz!$L:$L,0),3)</f>
        <v>9.3227040000000017</v>
      </c>
      <c r="J46" s="37" t="str">
        <f ca="1">IF(Gebaeude!F23&gt;0,Gebaeude!B23,"")&amp;IF(Gebaeude!F23&gt;0," - "&amp;Gebaeude!C23,"")</f>
        <v/>
      </c>
      <c r="L46" s="48" t="str">
        <f ca="1">IF(Y46&lt;&gt;"",INDEX(Gebaeude!$I:$X,MATCH("HT "&amp;$Y46,Gebaeude!$L:$L,0),1),"")</f>
        <v/>
      </c>
      <c r="N46" s="377" t="str">
        <f ca="1">IF(Y46&lt;&gt;"",INDEX(Referenz!$I:$X,MATCH("HT "&amp;$Y46,Referenz!$L:$L,0),1),"")</f>
        <v/>
      </c>
      <c r="Y46" s="207" t="str">
        <f ca="1">IF(Gebaeude!F23&gt;0,Gebaeude!B23,"")</f>
        <v/>
      </c>
    </row>
    <row r="47" spans="1:27" ht="15.75" customHeight="1">
      <c r="A47" s="37" t="s">
        <v>334</v>
      </c>
      <c r="D47" s="37" t="s">
        <v>335</v>
      </c>
      <c r="E47" s="48">
        <f ca="1">INDEX(Gebaeude!$I:$X,MATCH("HT "&amp;$D47,Gebaeude!$L:$L,0),3)</f>
        <v>0</v>
      </c>
      <c r="G47" s="377">
        <f ca="1">INDEX(Referenz!$I:$X,MATCH("HT "&amp;$D47,Referenz!$L:$L,0),3)</f>
        <v>0</v>
      </c>
      <c r="J47" s="37" t="str">
        <f ca="1">IF(Gebaeude!F24&gt;0,Gebaeude!B24,"")&amp;IF(Gebaeude!F24&gt;0," - "&amp;Gebaeude!C24,"")</f>
        <v/>
      </c>
      <c r="L47" s="48" t="str">
        <f ca="1">IF(Y47&lt;&gt;"",INDEX(Gebaeude!$I:$X,MATCH("HT "&amp;$Y47,Gebaeude!$L:$L,0),1),"")</f>
        <v/>
      </c>
      <c r="N47" s="377" t="str">
        <f ca="1">IF(Y47&lt;&gt;"",INDEX(Referenz!$I:$X,MATCH("HT "&amp;$Y47,Referenz!$L:$L,0),1),"")</f>
        <v/>
      </c>
      <c r="Y47" s="207" t="str">
        <f ca="1">IF(Gebaeude!F24&gt;0,Gebaeude!B24,"")</f>
        <v/>
      </c>
    </row>
    <row r="48" spans="1:27" ht="15.75" customHeight="1">
      <c r="A48" s="37" t="s">
        <v>336</v>
      </c>
      <c r="D48" s="37" t="s">
        <v>337</v>
      </c>
      <c r="E48" s="48">
        <f ca="1">INDEX(Gebaeude!$I:$X,MATCH("HT "&amp;$D48,Gebaeude!$L:$L,0),3)</f>
        <v>0</v>
      </c>
      <c r="G48" s="377">
        <f ca="1">INDEX(Referenz!$I:$X,MATCH("HT "&amp;$D48,Referenz!$L:$L,0),3)</f>
        <v>0</v>
      </c>
      <c r="J48" s="37" t="str">
        <f ca="1">IF(Gebaeude!F25&gt;0,Gebaeude!B25,"")&amp;IF(Gebaeude!F25&gt;0," - "&amp;Gebaeude!C25,"")</f>
        <v/>
      </c>
      <c r="L48" s="48" t="str">
        <f ca="1">IF(Y48&lt;&gt;"",INDEX(Gebaeude!$I:$X,MATCH("HT "&amp;$Y48,Gebaeude!$L:$L,0),1),"")</f>
        <v/>
      </c>
      <c r="N48" s="377" t="str">
        <f ca="1">IF(Y48&lt;&gt;"",INDEX(Referenz!$I:$X,MATCH("HT "&amp;$Y48,Referenz!$L:$L,0),1),"")</f>
        <v/>
      </c>
      <c r="Y48" s="207" t="str">
        <f ca="1">IF(Gebaeude!F25&gt;0,Gebaeude!B25,"")</f>
        <v/>
      </c>
    </row>
    <row r="49" spans="1:25" ht="15.75" customHeight="1">
      <c r="A49" s="37" t="s">
        <v>338</v>
      </c>
      <c r="D49" s="37" t="s">
        <v>339</v>
      </c>
      <c r="E49" s="48">
        <f ca="1">INDEX(Gebaeude!$I:$X,MATCH("HT "&amp;$D49,Gebaeude!$L:$L,0),3)</f>
        <v>27.655864006431546</v>
      </c>
      <c r="G49" s="377">
        <f ca="1">INDEX(Referenz!$I:$X,MATCH("HT "&amp;$D49,Referenz!$L:$L,0),3)</f>
        <v>36.393538749999998</v>
      </c>
      <c r="J49" s="37" t="str">
        <f ca="1">IF(Gebaeude!F26&gt;0,Gebaeude!B26,"")&amp;IF(Gebaeude!F26&gt;0," - "&amp;Gebaeude!C26,"")</f>
        <v/>
      </c>
      <c r="L49" s="48" t="str">
        <f ca="1">IF(Y49&lt;&gt;"",INDEX(Gebaeude!$I:$X,MATCH("HT "&amp;$Y49,Gebaeude!$L:$L,0),1),"")</f>
        <v/>
      </c>
      <c r="N49" s="377" t="str">
        <f ca="1">IF(Y49&lt;&gt;"",INDEX(Referenz!$I:$X,MATCH("HT "&amp;$Y49,Referenz!$L:$L,0),1),"")</f>
        <v/>
      </c>
      <c r="Y49" s="207" t="str">
        <f ca="1">IF(Gebaeude!F26&gt;0,Gebaeude!B26,"")</f>
        <v/>
      </c>
    </row>
    <row r="50" spans="1:25" ht="15.75" customHeight="1">
      <c r="A50" s="37" t="s">
        <v>340</v>
      </c>
      <c r="D50" s="37" t="s">
        <v>341</v>
      </c>
      <c r="E50" s="48">
        <f ca="1">INDEX(Gebaeude!$I:$X,MATCH("HT "&amp;$D50,Gebaeude!$L:$L,0),3)</f>
        <v>6.5216844000000007</v>
      </c>
      <c r="G50" s="377">
        <f ca="1">INDEX(Referenz!$I:$X,MATCH("HT "&amp;$D50,Referenz!$L:$L,0),3)</f>
        <v>23.291730000000001</v>
      </c>
      <c r="J50" s="37" t="str">
        <f ca="1">IF(Gebaeude!F27&gt;0,Gebaeude!B27,"")&amp;IF(Gebaeude!F27&gt;0," - "&amp;Gebaeude!C27,"")</f>
        <v/>
      </c>
      <c r="L50" s="48" t="str">
        <f ca="1">IF(Y50&lt;&gt;"",INDEX(Gebaeude!$I:$X,MATCH("HT "&amp;$Y50,Gebaeude!$L:$L,0),1),"")</f>
        <v/>
      </c>
      <c r="N50" s="377" t="str">
        <f ca="1">IF(Y50&lt;&gt;"",INDEX(Referenz!$I:$X,MATCH("HT "&amp;$Y50,Referenz!$L:$L,0),1),"")</f>
        <v/>
      </c>
      <c r="Y50" s="207" t="str">
        <f ca="1">IF(Gebaeude!F27&gt;0,Gebaeude!B27,"")</f>
        <v/>
      </c>
    </row>
    <row r="51" spans="1:25" ht="15.75" customHeight="1">
      <c r="D51" s="50" t="s">
        <v>342</v>
      </c>
      <c r="E51" s="49">
        <f ca="1">SUM(E41:E50)</f>
        <v>118.30852892008821</v>
      </c>
      <c r="F51" s="378" t="s">
        <v>342</v>
      </c>
      <c r="G51" s="379">
        <f ca="1">SUM(G41:G50)</f>
        <v>168.19097275000001</v>
      </c>
      <c r="J51" s="50" t="s">
        <v>342</v>
      </c>
      <c r="L51" s="49">
        <f ca="1">SUM(L41:L50)</f>
        <v>30.211430214140368</v>
      </c>
      <c r="M51" s="378" t="s">
        <v>342</v>
      </c>
      <c r="N51" s="379">
        <f ca="1">SUM(N41:N50)</f>
        <v>40.12624000000001</v>
      </c>
    </row>
    <row r="52" spans="1:25" ht="15.75" customHeight="1"/>
    <row r="53" spans="1:25" ht="15.75" customHeight="1"/>
    <row r="71" ht="15.75" customHeight="1"/>
    <row r="72" ht="15.75" customHeight="1"/>
    <row r="91" spans="1:30" ht="15.75" customHeight="1">
      <c r="A91" s="150" t="s">
        <v>1084</v>
      </c>
      <c r="B91" s="151"/>
      <c r="C91" s="151" t="s">
        <v>1085</v>
      </c>
      <c r="D91" s="151"/>
      <c r="E91" s="151"/>
      <c r="F91" s="151"/>
      <c r="G91" s="151"/>
      <c r="H91" s="151"/>
      <c r="I91" s="151"/>
      <c r="J91" s="151"/>
      <c r="K91" s="151"/>
      <c r="L91" s="151"/>
      <c r="M91" s="151"/>
      <c r="N91" s="151"/>
      <c r="O91" s="151"/>
      <c r="P91" s="33"/>
      <c r="Q91" s="148">
        <f>ROW(A92)</f>
        <v>92</v>
      </c>
      <c r="R91" s="148">
        <f>ROW(A128)</f>
        <v>128</v>
      </c>
      <c r="S91" s="148"/>
      <c r="T91" s="148"/>
      <c r="U91" s="148"/>
      <c r="V91" s="148"/>
      <c r="W91" s="148"/>
      <c r="X91" s="148"/>
    </row>
    <row r="92" spans="1:30" ht="15.75" customHeight="1">
      <c r="A92" s="25"/>
      <c r="P92" s="33"/>
      <c r="Q92" s="148"/>
      <c r="R92" s="148"/>
      <c r="S92" s="148"/>
      <c r="T92" s="148"/>
      <c r="U92" s="148"/>
      <c r="V92" s="148"/>
      <c r="W92" s="148"/>
      <c r="X92" s="148"/>
      <c r="Y92" s="37"/>
      <c r="Z92" s="37"/>
      <c r="AA92" s="37"/>
    </row>
    <row r="93" spans="1:30" ht="12">
      <c r="A93" s="38" t="s">
        <v>362</v>
      </c>
      <c r="H93" s="38" t="s">
        <v>363</v>
      </c>
      <c r="I93" s="38"/>
      <c r="J93" s="38"/>
      <c r="K93" s="38"/>
      <c r="L93" s="38" t="s">
        <v>364</v>
      </c>
    </row>
    <row r="94" spans="1:30">
      <c r="H94" s="37" t="s">
        <v>1800</v>
      </c>
      <c r="J94" s="46" t="s">
        <v>1801</v>
      </c>
      <c r="K94" s="46"/>
      <c r="L94" s="37" t="s">
        <v>1800</v>
      </c>
      <c r="N94" s="46" t="s">
        <v>1801</v>
      </c>
      <c r="O94" s="46"/>
    </row>
    <row r="95" spans="1:30" ht="12">
      <c r="D95" s="418" t="s">
        <v>365</v>
      </c>
      <c r="E95" s="418"/>
      <c r="F95" s="418" t="s">
        <v>366</v>
      </c>
      <c r="G95" s="418"/>
      <c r="H95" s="776" t="s">
        <v>365</v>
      </c>
      <c r="I95" s="776" t="s">
        <v>366</v>
      </c>
      <c r="J95" s="777" t="s">
        <v>365</v>
      </c>
      <c r="K95" s="777" t="s">
        <v>366</v>
      </c>
      <c r="L95" s="776" t="s">
        <v>365</v>
      </c>
      <c r="M95" s="776" t="s">
        <v>366</v>
      </c>
      <c r="N95" s="777" t="s">
        <v>365</v>
      </c>
      <c r="O95" s="777" t="s">
        <v>366</v>
      </c>
    </row>
    <row r="96" spans="1:30" ht="15">
      <c r="A96" s="37" t="s">
        <v>2618</v>
      </c>
      <c r="D96" s="51" t="s">
        <v>367</v>
      </c>
      <c r="F96" s="51" t="s">
        <v>368</v>
      </c>
      <c r="H96" s="39"/>
      <c r="I96" s="40">
        <f ca="1">INDEX(Gebaeude!$I:$X,MATCH($Z96,Gebaeude!$L:$L,0),1)</f>
        <v>8046.414471189838</v>
      </c>
      <c r="J96" s="384"/>
      <c r="K96" s="382">
        <f ca="1">INDEX(Referenz!$I:$X,MATCH($Z96,Referenz!$L:$L,0),1)</f>
        <v>10487.115118238169</v>
      </c>
      <c r="L96" s="53"/>
      <c r="M96" s="53">
        <f t="shared" ref="M96:M101" ca="1" si="0">IF(gAN&gt;0,I96/gAN,"")</f>
        <v>37.64436638693374</v>
      </c>
      <c r="N96" s="383"/>
      <c r="O96" s="383">
        <f t="shared" ref="O96:O101" ca="1" si="1">IF(gAN&gt;0,K96/gAN,"")</f>
        <v>49.062946641192916</v>
      </c>
      <c r="R96" s="55"/>
      <c r="S96" s="55"/>
      <c r="T96" s="55"/>
      <c r="U96" s="55"/>
      <c r="V96" s="55"/>
      <c r="W96" s="55"/>
      <c r="Y96" s="273"/>
      <c r="Z96" s="273" t="s">
        <v>314</v>
      </c>
      <c r="AA96" s="273"/>
      <c r="AB96" s="38"/>
      <c r="AC96" s="38"/>
      <c r="AD96" s="38"/>
    </row>
    <row r="97" spans="1:27" ht="15">
      <c r="A97" s="37" t="s">
        <v>327</v>
      </c>
      <c r="D97" s="51" t="s">
        <v>369</v>
      </c>
      <c r="F97" s="51" t="s">
        <v>370</v>
      </c>
      <c r="H97" s="54">
        <f ca="1">INDEX(Gebaeude!$I:$X,MATCH($Y97,Gebaeude!$L:$L,0),1)*$E41/$E$51</f>
        <v>2429.4424332554136</v>
      </c>
      <c r="I97" s="54">
        <f ca="1">INDEX(Gebaeude!$I:$X,MATCH($Z97,Gebaeude!$L:$L,0),1)</f>
        <v>137.24178000956448</v>
      </c>
      <c r="J97" s="380">
        <f ca="1">INDEX(Referenz!$I:$X,MATCH($Y97,Referenz!$L:$L,0),1)*$E41/$E$51</f>
        <v>3437.3629047834725</v>
      </c>
      <c r="K97" s="380">
        <f ca="1">INDEX(Referenz!$I:$X,MATCH($Z97,Referenz!$L:$L,0),1)</f>
        <v>182.28189012096007</v>
      </c>
      <c r="L97" s="52">
        <f t="shared" ref="L97:L107" ca="1" si="2">IF(gAN&gt;0,H97/gAN,"")</f>
        <v>11.365909797573106</v>
      </c>
      <c r="M97" s="52">
        <f t="shared" ca="1" si="0"/>
        <v>0.64207230049771991</v>
      </c>
      <c r="N97" s="381">
        <f t="shared" ref="N97:N107" ca="1" si="3">IF(gAN&gt;0,J97/gAN,"")</f>
        <v>16.081367552694516</v>
      </c>
      <c r="O97" s="381">
        <f t="shared" ca="1" si="1"/>
        <v>0.85278806877090174</v>
      </c>
      <c r="R97" s="55"/>
      <c r="S97" s="55"/>
      <c r="T97" s="55"/>
      <c r="U97" s="55"/>
      <c r="V97" s="55"/>
      <c r="W97" s="55"/>
      <c r="Y97" s="273" t="s">
        <v>386</v>
      </c>
      <c r="Z97" s="353" t="s">
        <v>400</v>
      </c>
      <c r="AA97" s="273"/>
    </row>
    <row r="98" spans="1:27" ht="15">
      <c r="A98" s="37" t="s">
        <v>329</v>
      </c>
      <c r="D98" s="51" t="s">
        <v>371</v>
      </c>
      <c r="F98" s="51" t="s">
        <v>372</v>
      </c>
      <c r="H98" s="54">
        <f ca="1">INDEX(Gebaeude!$I:$X,MATCH($Y98,Gebaeude!$L:$L,0),1)*$E42/$E$51</f>
        <v>2384.6972767435814</v>
      </c>
      <c r="I98" s="54">
        <f ca="1">INDEX(Gebaeude!$I:$X,MATCH($Z98,Gebaeude!$L:$L,0),1)</f>
        <v>3474.144639003649</v>
      </c>
      <c r="J98" s="380">
        <f ca="1">INDEX(Referenz!$I:$X,MATCH($Y98,Referenz!$L:$L,0),1)*$E42/$E$51</f>
        <v>3374.0539993913794</v>
      </c>
      <c r="K98" s="380">
        <f ca="1">INDEX(Referenz!$I:$X,MATCH($Z98,Referenz!$L:$L,0),1)</f>
        <v>4078.3662697981285</v>
      </c>
      <c r="L98" s="52">
        <f t="shared" ca="1" si="2"/>
        <v>11.156573940987156</v>
      </c>
      <c r="M98" s="52">
        <f t="shared" ca="1" si="0"/>
        <v>16.253447313722088</v>
      </c>
      <c r="N98" s="381">
        <f t="shared" ca="1" si="3"/>
        <v>15.785183005071621</v>
      </c>
      <c r="O98" s="381">
        <f t="shared" ca="1" si="1"/>
        <v>19.080239362525731</v>
      </c>
      <c r="R98" s="55"/>
      <c r="S98" s="55"/>
      <c r="T98" s="55"/>
      <c r="U98" s="55"/>
      <c r="V98" s="55"/>
      <c r="W98" s="55"/>
      <c r="Y98" s="273" t="s">
        <v>386</v>
      </c>
      <c r="Z98" s="353" t="s">
        <v>398</v>
      </c>
      <c r="AA98" s="273"/>
    </row>
    <row r="99" spans="1:27" ht="15">
      <c r="A99" s="37" t="s">
        <v>331</v>
      </c>
      <c r="D99" s="51" t="s">
        <v>373</v>
      </c>
      <c r="F99" s="51" t="s">
        <v>374</v>
      </c>
      <c r="H99" s="54">
        <f ca="1">INDEX(Gebaeude!$I:$X,MATCH($Y99,Gebaeude!$L:$L,0),1)*$E43/$E$51</f>
        <v>551.483861875147</v>
      </c>
      <c r="I99" s="54">
        <f ca="1">INDEX(Gebaeude!$I:$X,MATCH($Z99,Gebaeude!$L:$L,0),1)</f>
        <v>-2.1429878400000009</v>
      </c>
      <c r="J99" s="380">
        <f ca="1">INDEX(Referenz!$I:$X,MATCH($Y99,Referenz!$L:$L,0),1)*$E43/$E$51</f>
        <v>780.28198711266521</v>
      </c>
      <c r="K99" s="380">
        <f ca="1">INDEX(Referenz!$I:$X,MATCH($Z99,Referenz!$L:$L,0),1)</f>
        <v>-2.1429878400000009</v>
      </c>
      <c r="L99" s="52">
        <f t="shared" ca="1" si="2"/>
        <v>2.5800635335454367</v>
      </c>
      <c r="M99" s="52">
        <f t="shared" ca="1" si="0"/>
        <v>-1.0025759883554039E-2</v>
      </c>
      <c r="N99" s="381">
        <f t="shared" ca="1" si="3"/>
        <v>3.6504732776523761</v>
      </c>
      <c r="O99" s="381">
        <f t="shared" ca="1" si="1"/>
        <v>-1.0025759883554039E-2</v>
      </c>
      <c r="R99" s="55"/>
      <c r="S99" s="55"/>
      <c r="T99" s="55"/>
      <c r="U99" s="55"/>
      <c r="V99" s="55"/>
      <c r="W99" s="55"/>
      <c r="Y99" s="273" t="s">
        <v>386</v>
      </c>
      <c r="Z99" s="353" t="s">
        <v>401</v>
      </c>
      <c r="AA99" s="273"/>
    </row>
    <row r="100" spans="1:27" ht="15">
      <c r="A100" s="37" t="s">
        <v>351</v>
      </c>
      <c r="D100" s="51" t="s">
        <v>375</v>
      </c>
      <c r="F100" s="51" t="s">
        <v>376</v>
      </c>
      <c r="H100" s="54">
        <f ca="1">INDEX(Gebaeude!$I:$X,MATCH($Y100,Gebaeude!$L:$L,0),1)*$E44/$E$51</f>
        <v>671.48825340194253</v>
      </c>
      <c r="I100" s="54">
        <f ca="1">INDEX(Gebaeude!$I:$X,MATCH($Z100,Gebaeude!$L:$L,0),1)</f>
        <v>22.67382315015503</v>
      </c>
      <c r="J100" s="380">
        <f ca="1">INDEX(Referenz!$I:$X,MATCH($Y100,Referenz!$L:$L,0),1)*$E44/$E$51</f>
        <v>950.07347432752306</v>
      </c>
      <c r="K100" s="380">
        <f ca="1">INDEX(Referenz!$I:$X,MATCH($Z100,Referenz!$L:$L,0),1)</f>
        <v>25.42564250880001</v>
      </c>
      <c r="L100" s="52">
        <f t="shared" ca="1" si="2"/>
        <v>3.141492390939074</v>
      </c>
      <c r="M100" s="52">
        <f t="shared" ca="1" si="0"/>
        <v>0.10607727318957773</v>
      </c>
      <c r="N100" s="381">
        <f t="shared" ca="1" si="3"/>
        <v>4.4448262129857374</v>
      </c>
      <c r="O100" s="381">
        <f t="shared" ca="1" si="1"/>
        <v>0.11895139203324333</v>
      </c>
      <c r="R100" s="55"/>
      <c r="S100" s="55"/>
      <c r="T100" s="55"/>
      <c r="U100" s="55"/>
      <c r="V100" s="55"/>
      <c r="W100" s="55"/>
      <c r="Y100" s="273" t="s">
        <v>386</v>
      </c>
      <c r="Z100" s="353" t="s">
        <v>402</v>
      </c>
      <c r="AA100" s="273"/>
    </row>
    <row r="101" spans="1:27" ht="15">
      <c r="A101" s="37" t="s">
        <v>352</v>
      </c>
      <c r="D101" s="51" t="s">
        <v>389</v>
      </c>
      <c r="F101" s="51" t="s">
        <v>391</v>
      </c>
      <c r="H101" s="54">
        <f ca="1">INDEX(Gebaeude!$I:$X,MATCH($Y101,Gebaeude!$L:$L,0),1)*$E45/$E$51</f>
        <v>0</v>
      </c>
      <c r="I101" s="54">
        <f ca="1">INDEX(Gebaeude!$I:$X,MATCH($Z101,Gebaeude!$L:$L,0),1)</f>
        <v>0</v>
      </c>
      <c r="J101" s="380">
        <f ca="1">INDEX(Referenz!$I:$X,MATCH($Y101,Referenz!$L:$L,0),1)*$E45/$E$51</f>
        <v>0</v>
      </c>
      <c r="K101" s="380">
        <f ca="1">INDEX(Referenz!$I:$X,MATCH($Z101,Referenz!$L:$L,0),1)</f>
        <v>0</v>
      </c>
      <c r="L101" s="52">
        <f t="shared" ca="1" si="2"/>
        <v>0</v>
      </c>
      <c r="M101" s="52">
        <f t="shared" ca="1" si="0"/>
        <v>0</v>
      </c>
      <c r="N101" s="381">
        <f t="shared" ca="1" si="3"/>
        <v>0</v>
      </c>
      <c r="O101" s="381">
        <f t="shared" ca="1" si="1"/>
        <v>0</v>
      </c>
      <c r="R101" s="55"/>
      <c r="S101" s="55"/>
      <c r="T101" s="55"/>
      <c r="U101" s="55"/>
      <c r="V101" s="55"/>
      <c r="W101" s="55"/>
      <c r="Y101" s="273" t="s">
        <v>386</v>
      </c>
      <c r="Z101" s="353" t="s">
        <v>399</v>
      </c>
      <c r="AA101" s="273"/>
    </row>
    <row r="102" spans="1:27" ht="15">
      <c r="A102" s="37" t="s">
        <v>354</v>
      </c>
      <c r="D102" s="51" t="s">
        <v>390</v>
      </c>
      <c r="F102" s="37" t="s">
        <v>367</v>
      </c>
      <c r="H102" s="54">
        <f ca="1">INDEX(Gebaeude!$I:$X,MATCH($Y102,Gebaeude!$L:$L,0),1)*$E46/$E$51</f>
        <v>728.2538844080965</v>
      </c>
      <c r="J102" s="380">
        <f ca="1">INDEX(Referenz!$I:$X,MATCH($Y102,Referenz!$L:$L,0),1)*$E46/$E$51</f>
        <v>1030.3898759908118</v>
      </c>
      <c r="K102" s="46"/>
      <c r="L102" s="52">
        <f t="shared" ca="1" si="2"/>
        <v>3.4070648666588288</v>
      </c>
      <c r="M102" s="52"/>
      <c r="N102" s="381">
        <f t="shared" ca="1" si="3"/>
        <v>4.8205786753922499</v>
      </c>
      <c r="O102" s="381"/>
      <c r="R102" s="55"/>
      <c r="S102" s="55"/>
      <c r="T102" s="55"/>
      <c r="U102" s="55"/>
      <c r="V102" s="55"/>
      <c r="W102" s="55"/>
      <c r="Y102" s="273" t="s">
        <v>386</v>
      </c>
      <c r="Z102" s="273"/>
      <c r="AA102" s="273"/>
    </row>
    <row r="103" spans="1:27" ht="15">
      <c r="A103" s="37" t="s">
        <v>334</v>
      </c>
      <c r="D103" s="51" t="s">
        <v>377</v>
      </c>
      <c r="F103" s="51" t="s">
        <v>367</v>
      </c>
      <c r="H103" s="54">
        <f ca="1">INDEX(Gebaeude!$I:$X,MATCH($Y103,Gebaeude!$L:$L,0),1)*$E47/$E$51</f>
        <v>0</v>
      </c>
      <c r="J103" s="380">
        <f ca="1">INDEX(Referenz!$I:$X,MATCH($Y103,Referenz!$L:$L,0),1)*$E47/$E$51</f>
        <v>0</v>
      </c>
      <c r="K103" s="46"/>
      <c r="L103" s="52">
        <f t="shared" ca="1" si="2"/>
        <v>0</v>
      </c>
      <c r="M103" s="52"/>
      <c r="N103" s="381">
        <f t="shared" ca="1" si="3"/>
        <v>0</v>
      </c>
      <c r="O103" s="381"/>
      <c r="R103" s="55"/>
      <c r="S103" s="55"/>
      <c r="T103" s="55"/>
      <c r="U103" s="55"/>
      <c r="V103" s="55"/>
      <c r="W103" s="55"/>
      <c r="Y103" s="273" t="s">
        <v>386</v>
      </c>
      <c r="Z103" s="273"/>
      <c r="AA103" s="273"/>
    </row>
    <row r="104" spans="1:27" ht="15">
      <c r="A104" s="37" t="s">
        <v>336</v>
      </c>
      <c r="D104" s="51" t="s">
        <v>378</v>
      </c>
      <c r="F104" s="51" t="s">
        <v>367</v>
      </c>
      <c r="H104" s="54">
        <f ca="1">INDEX(Gebaeude!$I:$X,MATCH($Y104,Gebaeude!$L:$L,0),1)*$E48/$E$51</f>
        <v>0</v>
      </c>
      <c r="J104" s="380">
        <f ca="1">INDEX(Referenz!$I:$X,MATCH($Y104,Referenz!$L:$L,0),1)*$E48/$E$51</f>
        <v>0</v>
      </c>
      <c r="K104" s="46"/>
      <c r="L104" s="52">
        <f t="shared" ca="1" si="2"/>
        <v>0</v>
      </c>
      <c r="M104" s="52"/>
      <c r="N104" s="381">
        <f t="shared" ca="1" si="3"/>
        <v>0</v>
      </c>
      <c r="O104" s="381"/>
      <c r="R104" s="55"/>
      <c r="S104" s="55"/>
      <c r="T104" s="55"/>
      <c r="U104" s="55"/>
      <c r="V104" s="55"/>
      <c r="W104" s="55"/>
      <c r="Y104" s="273" t="s">
        <v>386</v>
      </c>
      <c r="Z104" s="273"/>
      <c r="AA104" s="273"/>
    </row>
    <row r="105" spans="1:27" ht="15">
      <c r="A105" s="37" t="s">
        <v>338</v>
      </c>
      <c r="D105" s="51" t="s">
        <v>379</v>
      </c>
      <c r="F105" s="51" t="s">
        <v>367</v>
      </c>
      <c r="H105" s="54">
        <f ca="1">INDEX(Gebaeude!$I:$X,MATCH($Y105,Gebaeude!$L:$L,0),1)*$E49/$E$51</f>
        <v>2223.937399498504</v>
      </c>
      <c r="J105" s="380">
        <f ca="1">INDEX(Referenz!$I:$X,MATCH($Y105,Referenz!$L:$L,0),1)*$E49/$E$51</f>
        <v>3146.5985013496702</v>
      </c>
      <c r="K105" s="46"/>
      <c r="L105" s="52">
        <f t="shared" ca="1" si="2"/>
        <v>10.404474513223363</v>
      </c>
      <c r="M105" s="52"/>
      <c r="N105" s="381">
        <f t="shared" ca="1" si="3"/>
        <v>14.721054611529093</v>
      </c>
      <c r="O105" s="381"/>
      <c r="R105" s="55"/>
      <c r="S105" s="55"/>
      <c r="T105" s="55"/>
      <c r="U105" s="55"/>
      <c r="V105" s="55"/>
      <c r="W105" s="55"/>
      <c r="Y105" s="273" t="s">
        <v>386</v>
      </c>
      <c r="Z105" s="273"/>
      <c r="AA105" s="273"/>
    </row>
    <row r="106" spans="1:27" ht="16.5" customHeight="1">
      <c r="A106" s="37" t="s">
        <v>340</v>
      </c>
      <c r="D106" s="51" t="s">
        <v>380</v>
      </c>
      <c r="F106" s="51" t="s">
        <v>367</v>
      </c>
      <c r="H106" s="54">
        <f ca="1">INDEX(Gebaeude!$I:$X,MATCH($Y106,Gebaeude!$L:$L,0),1)*$E50/$E$51</f>
        <v>524.43915118735799</v>
      </c>
      <c r="J106" s="380">
        <f ca="1">INDEX(Referenz!$I:$X,MATCH($Y106,Referenz!$L:$L,0),1)*$E50/$E$51</f>
        <v>742.01704038402886</v>
      </c>
      <c r="K106" s="46"/>
      <c r="L106" s="52">
        <f t="shared" ca="1" si="2"/>
        <v>2.4535374887331809</v>
      </c>
      <c r="M106" s="52"/>
      <c r="N106" s="381">
        <f t="shared" ca="1" si="3"/>
        <v>3.4714544513680914</v>
      </c>
      <c r="O106" s="381"/>
      <c r="R106" s="55"/>
      <c r="S106" s="55"/>
      <c r="T106" s="55"/>
      <c r="U106" s="55"/>
      <c r="V106" s="55"/>
      <c r="W106" s="55"/>
      <c r="Y106" s="273" t="s">
        <v>386</v>
      </c>
      <c r="Z106" s="273"/>
      <c r="AA106" s="273"/>
    </row>
    <row r="107" spans="1:27" ht="16.5" customHeight="1">
      <c r="A107" s="37" t="s">
        <v>300</v>
      </c>
      <c r="D107" s="51" t="s">
        <v>381</v>
      </c>
      <c r="F107" s="51" t="s">
        <v>367</v>
      </c>
      <c r="H107" s="54">
        <f ca="1">INDEX(Gebaeude!$I:$X,MATCH($Y107,Gebaeude!$L:$L,0),1)</f>
        <v>8327.8235817687473</v>
      </c>
      <c r="J107" s="380">
        <f ca="1">INDEX(Referenz!$I:$X,MATCH($Y107,Referenz!$L:$L,0),1)*$E51/$E$51</f>
        <v>7597.5768302811175</v>
      </c>
      <c r="K107" s="46"/>
      <c r="L107" s="52">
        <f t="shared" ca="1" si="2"/>
        <v>38.960911501678133</v>
      </c>
      <c r="M107" s="52"/>
      <c r="N107" s="381">
        <f t="shared" ca="1" si="3"/>
        <v>35.544523200491916</v>
      </c>
      <c r="O107" s="381"/>
      <c r="R107" s="55"/>
      <c r="S107" s="55"/>
      <c r="T107" s="55"/>
      <c r="U107" s="55"/>
      <c r="V107" s="55"/>
      <c r="W107" s="55"/>
      <c r="Y107" s="273" t="s">
        <v>387</v>
      </c>
      <c r="Z107" s="273"/>
      <c r="AA107" s="273"/>
    </row>
    <row r="108" spans="1:27" ht="16.5" customHeight="1">
      <c r="A108" s="37" t="s">
        <v>2627</v>
      </c>
      <c r="D108" s="51" t="s">
        <v>367</v>
      </c>
      <c r="F108" s="51" t="s">
        <v>382</v>
      </c>
      <c r="H108" s="54"/>
      <c r="I108" s="54">
        <f ca="1">INDEX(Gebaeude!$I:$X,MATCH($Z108,Gebaeude!$L:$L,0),1)</f>
        <v>6163.2341166255819</v>
      </c>
      <c r="J108" s="380"/>
      <c r="K108" s="380">
        <f ca="1">INDEX(Referenz!$I:$X,MATCH($Z108,Referenz!$L:$L,0),1)</f>
        <v>6287.308680794612</v>
      </c>
      <c r="L108" s="52"/>
      <c r="M108" s="52">
        <f ca="1">IF(gAN&gt;0,I108/gAN,"")</f>
        <v>28.834090518878703</v>
      </c>
      <c r="N108" s="381"/>
      <c r="O108" s="381">
        <f ca="1">IF(gAN&gt;0,K108/gAN,"")</f>
        <v>29.414561282546366</v>
      </c>
      <c r="R108" s="55"/>
      <c r="S108" s="55"/>
      <c r="T108" s="55"/>
      <c r="U108" s="55"/>
      <c r="V108" s="55"/>
      <c r="W108" s="55"/>
      <c r="Y108" s="273"/>
      <c r="Z108" s="353" t="s">
        <v>395</v>
      </c>
      <c r="AA108" s="273"/>
    </row>
    <row r="109" spans="1:27" ht="16.5" customHeight="1">
      <c r="G109" s="50" t="s">
        <v>342</v>
      </c>
      <c r="H109" s="40">
        <f t="shared" ref="H109:O109" ca="1" si="4">SUM(H96:H108)</f>
        <v>17841.565842138793</v>
      </c>
      <c r="I109" s="40">
        <f t="shared" ca="1" si="4"/>
        <v>17841.565842138789</v>
      </c>
      <c r="J109" s="382">
        <f t="shared" ca="1" si="4"/>
        <v>21058.354613620668</v>
      </c>
      <c r="K109" s="382">
        <f t="shared" ca="1" si="4"/>
        <v>21058.354613620671</v>
      </c>
      <c r="L109" s="53">
        <f t="shared" ca="1" si="4"/>
        <v>83.470028033338281</v>
      </c>
      <c r="M109" s="53">
        <f t="shared" ca="1" si="4"/>
        <v>83.470028033338281</v>
      </c>
      <c r="N109" s="383">
        <f t="shared" ca="1" si="4"/>
        <v>98.519460987185596</v>
      </c>
      <c r="O109" s="383">
        <f t="shared" ca="1" si="4"/>
        <v>98.519460987185596</v>
      </c>
      <c r="R109" s="55"/>
      <c r="S109" s="55"/>
      <c r="T109" s="55"/>
      <c r="U109" s="55"/>
      <c r="V109" s="55"/>
      <c r="W109" s="55"/>
      <c r="Y109" s="774">
        <f ca="1">I109-H109</f>
        <v>0</v>
      </c>
      <c r="Z109" s="273"/>
      <c r="AA109" s="273"/>
    </row>
    <row r="110" spans="1:27" ht="16.5" customHeight="1">
      <c r="A110" s="37" t="s">
        <v>383</v>
      </c>
    </row>
    <row r="111" spans="1:27" ht="16.5" customHeight="1"/>
    <row r="112" spans="1:27" ht="16.5" customHeight="1"/>
    <row r="113" spans="25:26" ht="16.5" customHeight="1"/>
    <row r="114" spans="25:26" ht="16.5" customHeight="1"/>
    <row r="115" spans="25:26" ht="16.5" customHeight="1"/>
    <row r="116" spans="25:26" ht="16.5" customHeight="1"/>
    <row r="117" spans="25:26" ht="16.5" customHeight="1"/>
    <row r="118" spans="25:26" ht="16.5" customHeight="1"/>
    <row r="119" spans="25:26" ht="16.5" customHeight="1"/>
    <row r="120" spans="25:26" ht="16.5" customHeight="1"/>
    <row r="121" spans="25:26" ht="16.5" customHeight="1"/>
    <row r="122" spans="25:26" ht="16.5" customHeight="1"/>
    <row r="123" spans="25:26" ht="16.5" customHeight="1"/>
    <row r="124" spans="25:26" ht="16.5" customHeight="1"/>
    <row r="125" spans="25:26" ht="16.5" customHeight="1">
      <c r="Z125" s="207"/>
    </row>
    <row r="126" spans="25:26" ht="16.5" customHeight="1">
      <c r="Y126" s="207" t="s">
        <v>2429</v>
      </c>
      <c r="Z126" s="207" t="s">
        <v>2309</v>
      </c>
    </row>
    <row r="127" spans="25:26" ht="16.5" customHeight="1">
      <c r="Y127" s="207" t="s">
        <v>2430</v>
      </c>
      <c r="Z127" s="207" t="s">
        <v>2310</v>
      </c>
    </row>
    <row r="128" spans="25:26" ht="16.5" customHeight="1">
      <c r="Y128" s="207" t="s">
        <v>2887</v>
      </c>
      <c r="Z128" s="207" t="s">
        <v>2886</v>
      </c>
    </row>
    <row r="129" spans="1:27" ht="16.5" customHeight="1">
      <c r="Y129" s="207" t="s">
        <v>2427</v>
      </c>
      <c r="Z129" s="207" t="s">
        <v>2425</v>
      </c>
    </row>
    <row r="130" spans="1:27" ht="16.5" customHeight="1">
      <c r="A130" s="150" t="s">
        <v>2615</v>
      </c>
      <c r="B130" s="151"/>
      <c r="C130" s="151"/>
      <c r="D130" s="151"/>
      <c r="E130" s="151"/>
      <c r="F130" s="151"/>
      <c r="G130" s="151"/>
      <c r="H130" s="151"/>
      <c r="I130" s="151"/>
      <c r="J130" s="151"/>
      <c r="K130" s="151"/>
      <c r="L130" s="151"/>
      <c r="M130" s="151"/>
      <c r="N130" s="151"/>
      <c r="O130" s="151"/>
      <c r="P130" s="33"/>
      <c r="Q130" s="148">
        <f>ROW(A132)</f>
        <v>132</v>
      </c>
      <c r="R130" s="148">
        <f>ROW(A168)</f>
        <v>168</v>
      </c>
      <c r="S130" s="148"/>
      <c r="T130" s="148"/>
      <c r="U130" s="148"/>
      <c r="V130" s="148"/>
      <c r="W130" s="148"/>
      <c r="X130" s="148"/>
      <c r="Y130" s="207" t="s">
        <v>2428</v>
      </c>
      <c r="Z130" s="207" t="s">
        <v>2426</v>
      </c>
    </row>
    <row r="131" spans="1:27" ht="16.5" customHeight="1">
      <c r="A131" s="880" t="s">
        <v>2822</v>
      </c>
      <c r="B131" s="787"/>
      <c r="C131" s="787"/>
      <c r="D131" s="787"/>
      <c r="E131" s="787"/>
      <c r="F131" s="787"/>
      <c r="G131" s="787"/>
      <c r="H131" s="787"/>
      <c r="I131" s="787"/>
      <c r="J131" s="787"/>
      <c r="K131" s="787"/>
      <c r="L131" s="787"/>
      <c r="M131" s="787"/>
      <c r="N131" s="787"/>
      <c r="O131" s="879"/>
      <c r="P131" s="33"/>
      <c r="Q131" s="148"/>
      <c r="R131" s="148"/>
      <c r="S131" s="148"/>
      <c r="T131" s="148"/>
      <c r="U131" s="148"/>
      <c r="V131" s="148"/>
      <c r="W131" s="148"/>
      <c r="X131" s="148"/>
    </row>
    <row r="132" spans="1:27" ht="16.5" customHeight="1">
      <c r="A132" s="813" t="str">
        <f>IF($Y$132=0,"Darstellung nur bei Auswahl Diagrammverfahren.",VLOOKUP(Y132,Z155:AA168,2,FALSE))</f>
        <v>Anlage 8 - Wärmepumpe (Luft/Wasser) und Lüftungsanlage mit Wärmerückgewinnung</v>
      </c>
      <c r="B132" s="787"/>
      <c r="C132" s="787"/>
      <c r="D132" s="787"/>
      <c r="E132" s="787"/>
      <c r="F132" s="787"/>
      <c r="G132" s="787"/>
      <c r="H132" s="787"/>
      <c r="I132" s="787"/>
      <c r="J132" s="787"/>
      <c r="K132" s="787"/>
      <c r="L132" s="787"/>
      <c r="M132" s="787"/>
      <c r="N132" s="787"/>
      <c r="O132" s="787"/>
      <c r="Q132" s="725" t="str">
        <f>IF(ge_Art&lt;&gt;Gebaeude!C210,"Hinweis: Diagrammverfahren ist nicht ausgewählt (Blatt Gebaeude), d.h. das hier dargestellte Diagramm ist nicht relevant.","")</f>
        <v/>
      </c>
      <c r="Y132" s="588">
        <f>IF(Gebaeude!G209=Gebaeude!AA214,MATCH(Gebaeude!D211,Graphisch!AA155:AA168,0),0)</f>
        <v>8</v>
      </c>
      <c r="Z132" s="589">
        <v>2</v>
      </c>
      <c r="AA132" s="149" t="str">
        <f>INDEX(Y126:Y130,Z132)</f>
        <v>qP</v>
      </c>
    </row>
    <row r="133" spans="1:27" ht="16.5" customHeight="1">
      <c r="A133" s="787" t="s">
        <v>620</v>
      </c>
      <c r="B133" s="787"/>
      <c r="C133" s="787" t="str">
        <f>IF($Y$132=0,"",INDEX(Technik!$C$185:$N$196,$Y$132,$Y133))</f>
        <v>&lt; 500 m²</v>
      </c>
      <c r="D133" s="787"/>
      <c r="E133" s="814" t="str">
        <f>IF($Y$132=0,"","Hinweis: es werden nur Nutzflächen bis 500 m² dargestellt")</f>
        <v>Hinweis: es werden nur Nutzflächen bis 500 m² dargestellt</v>
      </c>
      <c r="F133" s="787"/>
      <c r="G133" s="787"/>
      <c r="H133" s="787"/>
      <c r="I133" s="787"/>
      <c r="J133" s="787"/>
      <c r="K133" s="787"/>
      <c r="L133" s="787"/>
      <c r="M133" s="787"/>
      <c r="N133" s="787"/>
      <c r="O133" s="787"/>
      <c r="Y133" s="197">
        <v>12</v>
      </c>
      <c r="Z133" s="197"/>
      <c r="AA133" s="197"/>
    </row>
    <row r="134" spans="1:27" ht="16.5" customHeight="1">
      <c r="A134" s="815" t="s">
        <v>614</v>
      </c>
      <c r="B134" s="793"/>
      <c r="C134" s="793" t="s">
        <v>283</v>
      </c>
      <c r="D134" s="793"/>
      <c r="E134" s="793" t="str">
        <f>IF($Y$132=0,"",VLOOKUP(Z134&amp;"#"&amp;AA134,Technik!$A$213:$D$411,4,FALSE))</f>
        <v>außerhalb thermischer Hülle, ohne Zirkulation</v>
      </c>
      <c r="F134" s="793"/>
      <c r="G134" s="793"/>
      <c r="H134" s="793"/>
      <c r="I134" s="793"/>
      <c r="J134" s="793"/>
      <c r="K134" s="793"/>
      <c r="L134" s="793"/>
      <c r="M134" s="793"/>
      <c r="N134" s="793"/>
      <c r="O134" s="816"/>
      <c r="Y134" s="197">
        <v>1</v>
      </c>
      <c r="Z134" s="198" t="s">
        <v>417</v>
      </c>
      <c r="AA134" s="197">
        <f>INDEX(Technik!$C$185:$M$196,$Y$132,$Y134)</f>
        <v>3</v>
      </c>
    </row>
    <row r="135" spans="1:27" ht="16.5" customHeight="1">
      <c r="A135" s="817" t="s">
        <v>615</v>
      </c>
      <c r="B135" s="787"/>
      <c r="C135" s="787" t="s">
        <v>616</v>
      </c>
      <c r="D135" s="787"/>
      <c r="E135" s="787" t="str">
        <f>IF($Y$132=0,"",VLOOKUP(Z135&amp;"#"&amp;AA135,Technik!$A$213:$D$411,4,FALSE))</f>
        <v>indirekt beheizter Speicher, Aufstellung außerhalb thermischer Hülle</v>
      </c>
      <c r="F135" s="787"/>
      <c r="G135" s="787"/>
      <c r="H135" s="787"/>
      <c r="I135" s="787"/>
      <c r="J135" s="787"/>
      <c r="K135" s="787"/>
      <c r="L135" s="787"/>
      <c r="M135" s="787"/>
      <c r="N135" s="787"/>
      <c r="O135" s="818"/>
      <c r="Y135" s="197">
        <v>2</v>
      </c>
      <c r="Z135" s="198" t="s">
        <v>418</v>
      </c>
      <c r="AA135" s="197">
        <f>INDEX(Technik!$C$185:$M$196,$Y$132,$Y135)</f>
        <v>7</v>
      </c>
    </row>
    <row r="136" spans="1:27" ht="16.5" customHeight="1">
      <c r="A136" s="819"/>
      <c r="B136" s="801"/>
      <c r="C136" s="801" t="s">
        <v>270</v>
      </c>
      <c r="D136" s="801"/>
      <c r="E136" s="801" t="str">
        <f>IF($Y$132=0,"","zentral, "&amp;LEFT(E140,FIND(" ",E140)))</f>
        <v xml:space="preserve">zentral, Elektro-Wärmepumpe </v>
      </c>
      <c r="F136" s="801"/>
      <c r="G136" s="801"/>
      <c r="H136" s="801"/>
      <c r="I136" s="801"/>
      <c r="J136" s="801"/>
      <c r="K136" s="801"/>
      <c r="L136" s="801"/>
      <c r="M136" s="801"/>
      <c r="N136" s="801"/>
      <c r="O136" s="820"/>
      <c r="Y136" s="197">
        <v>3</v>
      </c>
      <c r="Z136" s="198" t="s">
        <v>419</v>
      </c>
      <c r="AA136" s="197">
        <f>INDEX(Technik!$C$185:$M$196,$Y$132,$Y136)</f>
        <v>97</v>
      </c>
    </row>
    <row r="137" spans="1:27" ht="16.5" customHeight="1">
      <c r="A137" s="815" t="s">
        <v>301</v>
      </c>
      <c r="B137" s="793"/>
      <c r="C137" s="793" t="s">
        <v>282</v>
      </c>
      <c r="D137" s="793"/>
      <c r="E137" s="793" t="str">
        <f>IF($Y$132=0,"",VLOOKUP(Z137&amp;"#"&amp;AA137,Technik!$A$213:$D$411,4,FALSE))</f>
        <v>Fußbodenheizung, Einzelraumregelung 2 K</v>
      </c>
      <c r="F137" s="793"/>
      <c r="G137" s="793"/>
      <c r="H137" s="793"/>
      <c r="I137" s="793"/>
      <c r="J137" s="793"/>
      <c r="K137" s="793"/>
      <c r="L137" s="793"/>
      <c r="M137" s="793"/>
      <c r="N137" s="793"/>
      <c r="O137" s="816"/>
      <c r="Y137" s="197">
        <v>4</v>
      </c>
      <c r="Z137" s="198" t="s">
        <v>420</v>
      </c>
      <c r="AA137" s="197">
        <f>INDEX(Technik!$C$185:$M$196,$Y$132,$Y137)</f>
        <v>12</v>
      </c>
    </row>
    <row r="138" spans="1:27" ht="33" customHeight="1">
      <c r="A138" s="817"/>
      <c r="B138" s="787"/>
      <c r="C138" s="1268" t="s">
        <v>618</v>
      </c>
      <c r="D138" s="1268"/>
      <c r="E138" s="1269" t="str">
        <f>IF($Y$132=0,"",VLOOKUP(Z138&amp;"#"&amp;AA138,Technik!$A$213:$D$411,4,FALSE))</f>
        <v>horizontale Verteilung außerhalb thermischer Hülle, Verteilungsstränge innenliegend, geregelte Pumpen</v>
      </c>
      <c r="F138" s="1269"/>
      <c r="G138" s="1269"/>
      <c r="H138" s="1269"/>
      <c r="I138" s="1269"/>
      <c r="J138" s="1269"/>
      <c r="K138" s="1269"/>
      <c r="L138" s="1269"/>
      <c r="M138" s="1269"/>
      <c r="N138" s="1269"/>
      <c r="O138" s="1270"/>
      <c r="Y138" s="197">
        <v>5</v>
      </c>
      <c r="Z138" s="198" t="s">
        <v>421</v>
      </c>
      <c r="AA138" s="197">
        <f>INDEX(Technik!$C$185:$M$196,$Y$132,$Y138)</f>
        <v>18</v>
      </c>
    </row>
    <row r="139" spans="1:27" ht="16.5" customHeight="1">
      <c r="A139" s="817"/>
      <c r="B139" s="787"/>
      <c r="C139" s="787" t="s">
        <v>616</v>
      </c>
      <c r="D139" s="787"/>
      <c r="E139" s="787" t="str">
        <f>IF($Y$132=0,"",VLOOKUP(Z139&amp;"#"&amp;AA139,Technik!$A$213:$D$411,4,FALSE))</f>
        <v>Aufstellung außerhalb der thermischen Hülle</v>
      </c>
      <c r="F139" s="787"/>
      <c r="G139" s="787"/>
      <c r="H139" s="787"/>
      <c r="I139" s="787"/>
      <c r="J139" s="787"/>
      <c r="K139" s="787"/>
      <c r="L139" s="787"/>
      <c r="M139" s="787"/>
      <c r="N139" s="787"/>
      <c r="O139" s="818"/>
      <c r="Y139" s="197">
        <v>6</v>
      </c>
      <c r="Z139" s="198" t="s">
        <v>422</v>
      </c>
      <c r="AA139" s="197">
        <f>INDEX(Technik!$C$185:$M$196,$Y$132,$Y139)</f>
        <v>4</v>
      </c>
    </row>
    <row r="140" spans="1:27" ht="16.5" customHeight="1">
      <c r="A140" s="819"/>
      <c r="B140" s="801"/>
      <c r="C140" s="801" t="s">
        <v>270</v>
      </c>
      <c r="D140" s="801"/>
      <c r="E140" s="801" t="str">
        <f>IF($Y$132=0,"",VLOOKUP(Z140&amp;"#"&amp;AA140,Technik!$A$213:$D$411,4,FALSE))</f>
        <v>Elektro-Wärmepumpe Luft/Wasser, 35/28°C, ohne elektrische Ergänzungsheizung</v>
      </c>
      <c r="F140" s="801"/>
      <c r="G140" s="801"/>
      <c r="H140" s="801"/>
      <c r="I140" s="801"/>
      <c r="J140" s="801"/>
      <c r="K140" s="801"/>
      <c r="L140" s="801"/>
      <c r="M140" s="801"/>
      <c r="N140" s="801"/>
      <c r="O140" s="820"/>
      <c r="Y140" s="197">
        <v>7</v>
      </c>
      <c r="Z140" s="198" t="s">
        <v>423</v>
      </c>
      <c r="AA140" s="197">
        <f>INDEX(Technik!$C$185:$M$196,$Y$132,$Y140)</f>
        <v>161</v>
      </c>
    </row>
    <row r="141" spans="1:27" ht="16.5" customHeight="1">
      <c r="A141" s="815" t="s">
        <v>300</v>
      </c>
      <c r="B141" s="793"/>
      <c r="C141" s="793" t="s">
        <v>282</v>
      </c>
      <c r="D141" s="793"/>
      <c r="E141" s="793" t="str">
        <f>IF($Y$132=0,"",VLOOKUP(Z141&amp;"#"&amp;AA141,Technik!$A$213:$D$411,4,FALSE))</f>
        <v>Lufttemperaturen &lt; 20°C</v>
      </c>
      <c r="F141" s="793"/>
      <c r="G141" s="793"/>
      <c r="H141" s="793"/>
      <c r="I141" s="793"/>
      <c r="J141" s="793"/>
      <c r="K141" s="793"/>
      <c r="L141" s="793"/>
      <c r="M141" s="793"/>
      <c r="N141" s="793"/>
      <c r="O141" s="816"/>
      <c r="Y141" s="197">
        <v>8</v>
      </c>
      <c r="Z141" s="198" t="s">
        <v>424</v>
      </c>
      <c r="AA141" s="197">
        <f>INDEX(Technik!$C$185:$M$196,$Y$132,$Y141)</f>
        <v>7</v>
      </c>
    </row>
    <row r="142" spans="1:27" ht="16.5" customHeight="1">
      <c r="A142" s="817"/>
      <c r="B142" s="787"/>
      <c r="C142" s="787" t="s">
        <v>283</v>
      </c>
      <c r="D142" s="787"/>
      <c r="E142" s="787" t="str">
        <f>IF($Y$132=0,"",VLOOKUP(Z142&amp;"#"&amp;AA142,Technik!$A$213:$D$411,4,FALSE))</f>
        <v>beheizt, WRG durch WÜT</v>
      </c>
      <c r="F142" s="787"/>
      <c r="G142" s="787"/>
      <c r="H142" s="787"/>
      <c r="I142" s="787"/>
      <c r="J142" s="787"/>
      <c r="K142" s="787"/>
      <c r="L142" s="787"/>
      <c r="M142" s="787"/>
      <c r="N142" s="787"/>
      <c r="O142" s="818"/>
      <c r="Y142" s="197">
        <v>9</v>
      </c>
      <c r="Z142" s="198" t="s">
        <v>425</v>
      </c>
      <c r="AA142" s="197">
        <f>INDEX(Technik!$C$185:$M$196,$Y$132,$Y142)</f>
        <v>32</v>
      </c>
    </row>
    <row r="143" spans="1:27" ht="16.5" customHeight="1">
      <c r="A143" s="819"/>
      <c r="B143" s="801"/>
      <c r="C143" s="801" t="s">
        <v>270</v>
      </c>
      <c r="D143" s="801"/>
      <c r="E143" s="801" t="str">
        <f>IF($Y$132=0,"",VLOOKUP(Z143&amp;"#"&amp;AA143,Technik!$A$213:$D$411,4,FALSE))</f>
        <v>Abluft/Zuluft mit WRG 80%, Luftwechsel 0,4 1/h, zentral, DC-Ventilatoren</v>
      </c>
      <c r="F143" s="801"/>
      <c r="G143" s="801"/>
      <c r="H143" s="801"/>
      <c r="I143" s="801"/>
      <c r="J143" s="801"/>
      <c r="K143" s="801"/>
      <c r="L143" s="801"/>
      <c r="M143" s="801"/>
      <c r="N143" s="801"/>
      <c r="O143" s="820"/>
      <c r="Y143" s="197">
        <v>10</v>
      </c>
      <c r="Z143" s="198" t="s">
        <v>426</v>
      </c>
      <c r="AA143" s="197">
        <f>INDEX(Technik!$C$185:$M$196,$Y$132,$Y143)</f>
        <v>13</v>
      </c>
    </row>
    <row r="144" spans="1:27" ht="16.5" customHeight="1">
      <c r="A144" s="55"/>
      <c r="Y144" s="197"/>
      <c r="Z144" s="197" t="s">
        <v>621</v>
      </c>
      <c r="AA144" s="197"/>
    </row>
    <row r="145" spans="1:27" ht="16.5" customHeight="1">
      <c r="A145" s="38" t="str">
        <f>INDEX($Z$126:$Z$130,$Z$132)&amp;" - Diagramm"</f>
        <v>Primärenergiebedarf QP'' [kWh/(m²a)] - Diagramm</v>
      </c>
    </row>
    <row r="146" spans="1:27" ht="16.5" customHeight="1">
      <c r="Y146" s="207">
        <f>Y132</f>
        <v>8</v>
      </c>
    </row>
    <row r="147" spans="1:27" ht="16.5" customHeight="1">
      <c r="Y147" s="207" t="str">
        <f>C133</f>
        <v>&lt; 500 m²</v>
      </c>
    </row>
    <row r="148" spans="1:27" ht="16.5" customHeight="1">
      <c r="Y148" s="207" t="str">
        <f>A132</f>
        <v>Anlage 8 - Wärmepumpe (Luft/Wasser) und Lüftungsanlage mit Wärmerückgewinnung</v>
      </c>
    </row>
    <row r="149" spans="1:27" ht="16.5" customHeight="1"/>
    <row r="150" spans="1:27" ht="16.5" customHeight="1">
      <c r="Y150" s="207">
        <f ca="1">gAN</f>
        <v>213.7481712</v>
      </c>
    </row>
    <row r="151" spans="1:27" ht="16.5" customHeight="1"/>
    <row r="152" spans="1:27" ht="16.5" customHeight="1"/>
    <row r="153" spans="1:27" ht="16.5" customHeight="1"/>
    <row r="154" spans="1:27" ht="16.5" customHeight="1"/>
    <row r="155" spans="1:27" ht="16.5" customHeight="1">
      <c r="Z155" s="347">
        <v>1</v>
      </c>
      <c r="AA155" s="348" t="s">
        <v>177</v>
      </c>
    </row>
    <row r="156" spans="1:27" ht="16.5" customHeight="1">
      <c r="Z156" s="349">
        <v>2</v>
      </c>
      <c r="AA156" s="350" t="s">
        <v>178</v>
      </c>
    </row>
    <row r="157" spans="1:27" ht="16.5" customHeight="1">
      <c r="Z157" s="349">
        <v>3</v>
      </c>
      <c r="AA157" s="350" t="s">
        <v>179</v>
      </c>
    </row>
    <row r="158" spans="1:27" ht="16.5" customHeight="1">
      <c r="Q158" s="888"/>
      <c r="R158" s="888"/>
      <c r="S158" s="888"/>
      <c r="T158" s="888"/>
      <c r="U158" s="888"/>
      <c r="V158" s="888"/>
      <c r="W158" s="888"/>
      <c r="X158" s="888"/>
      <c r="Z158" s="349">
        <v>4</v>
      </c>
      <c r="AA158" s="350" t="s">
        <v>180</v>
      </c>
    </row>
    <row r="159" spans="1:27" ht="16.5" customHeight="1">
      <c r="Q159" s="888"/>
      <c r="R159" s="888"/>
      <c r="S159" s="888"/>
      <c r="T159" s="888"/>
      <c r="U159" s="888"/>
      <c r="V159" s="888"/>
      <c r="W159" s="888"/>
      <c r="X159" s="888"/>
      <c r="Z159" s="349">
        <v>5</v>
      </c>
      <c r="AA159" s="350" t="s">
        <v>181</v>
      </c>
    </row>
    <row r="160" spans="1:27" ht="16.5" customHeight="1">
      <c r="Q160" s="888"/>
      <c r="R160" s="888"/>
      <c r="S160" s="888"/>
      <c r="T160" s="888"/>
      <c r="U160" s="888"/>
      <c r="V160" s="888"/>
      <c r="W160" s="888"/>
      <c r="X160" s="888"/>
      <c r="Z160" s="349">
        <v>6</v>
      </c>
      <c r="AA160" s="350" t="s">
        <v>182</v>
      </c>
    </row>
    <row r="161" spans="1:27" ht="16.5" customHeight="1">
      <c r="A161" s="38" t="str">
        <f>INDEX($Z$126:$Z$130,$Z$132)&amp;" - Tabelle"</f>
        <v>Primärenergiebedarf QP'' [kWh/(m²a)] - Tabelle</v>
      </c>
      <c r="N161" s="56" t="s">
        <v>2938</v>
      </c>
      <c r="Q161" s="888"/>
      <c r="R161" s="888"/>
      <c r="S161" s="888"/>
      <c r="T161" s="888"/>
      <c r="U161" s="888"/>
      <c r="V161" s="888"/>
      <c r="W161" s="888"/>
      <c r="X161" s="888"/>
      <c r="Z161" s="349">
        <v>7</v>
      </c>
      <c r="AA161" s="350" t="s">
        <v>183</v>
      </c>
    </row>
    <row r="162" spans="1:27" ht="16.5" customHeight="1">
      <c r="A162" s="37" t="s">
        <v>404</v>
      </c>
      <c r="C162" s="56" t="s">
        <v>403</v>
      </c>
      <c r="D162" s="54">
        <v>100</v>
      </c>
      <c r="E162" s="54">
        <v>120</v>
      </c>
      <c r="F162" s="54">
        <v>150</v>
      </c>
      <c r="G162" s="54">
        <v>170</v>
      </c>
      <c r="H162" s="54">
        <v>200</v>
      </c>
      <c r="I162" s="54">
        <v>250</v>
      </c>
      <c r="J162" s="54">
        <v>300</v>
      </c>
      <c r="K162" s="54">
        <v>350</v>
      </c>
      <c r="L162" s="54">
        <v>400</v>
      </c>
      <c r="M162" s="54">
        <v>450</v>
      </c>
      <c r="N162" s="54">
        <v>500</v>
      </c>
      <c r="Q162" s="888"/>
      <c r="R162" s="888"/>
      <c r="S162" s="888"/>
      <c r="T162" s="888"/>
      <c r="U162" s="888"/>
      <c r="V162" s="888"/>
      <c r="W162" s="888"/>
      <c r="X162" s="888"/>
      <c r="Z162" s="349">
        <v>8</v>
      </c>
      <c r="AA162" s="350" t="s">
        <v>184</v>
      </c>
    </row>
    <row r="163" spans="1:27" ht="16.5" customHeight="1">
      <c r="B163" s="56" t="str">
        <f t="shared" ref="B163:B168" si="5">"qh = "&amp;Y163&amp;" kWh/(m²a)"</f>
        <v>qh = 40 kWh/(m²a)</v>
      </c>
      <c r="D163" s="156">
        <f>IF($Y$132=0,"",RechAnlageRange($AA$134:$AA$144,D$162,$Y163,$AA$132))</f>
        <v>42.695999999999998</v>
      </c>
      <c r="E163" s="152">
        <f>IF($Y$132=0,"",RechAnlageRange($AA$134:$AA$144,E$162,$Y163,$AA$132))</f>
        <v>40.752000000000002</v>
      </c>
      <c r="F163" s="152">
        <f>IF($Y$132=0,"",RechAnlageRange($AA$134:$AA$144,F$162,$Y163,$AA$132))</f>
        <v>37.835999999999999</v>
      </c>
      <c r="G163" s="152">
        <f>IF($Y$132=0,"",RechAnlageRange($AA$134:$AA$144,G$162,$Y163,$AA$132))</f>
        <v>36.849600000000002</v>
      </c>
      <c r="H163" s="152">
        <f>IF($Y$132=0,"",RechAnlageRange($AA$134:$AA$144,H$162,$Y163,$AA$132))</f>
        <v>35.369999999999997</v>
      </c>
      <c r="I163" s="152">
        <f>IF($Y$132=0,"",RechAnlageRange($AA$134:$AA$144,I$162,$Y163,$AA$132))</f>
        <v>34.173000000000002</v>
      </c>
      <c r="J163" s="152">
        <f>IF($Y$132=0,"",RechAnlageRange($AA$134:$AA$144,J$162,$Y163,$AA$132))</f>
        <v>32.975999999999999</v>
      </c>
      <c r="K163" s="152">
        <f>IF($Y$132=0,"",RechAnlageRange($AA$134:$AA$144,K$162,$Y163,$AA$132))</f>
        <v>32.467500000000001</v>
      </c>
      <c r="L163" s="152">
        <f>IF($Y$132=0,"",RechAnlageRange($AA$134:$AA$144,L$162,$Y163,$AA$132))</f>
        <v>31.959</v>
      </c>
      <c r="M163" s="152">
        <f>IF($Y$132=0,"",RechAnlageRange($AA$134:$AA$144,M$162,$Y163,$AA$132))</f>
        <v>31.450500000000002</v>
      </c>
      <c r="N163" s="157">
        <f>IF($Y$132=0,"",RechAnlageRange($AA$134:$AA$144,N$162,$Y163,$AA$132))</f>
        <v>30.942</v>
      </c>
      <c r="Q163" s="888"/>
      <c r="R163" s="888"/>
      <c r="S163" s="888"/>
      <c r="T163" s="888"/>
      <c r="U163" s="888"/>
      <c r="V163" s="888"/>
      <c r="W163" s="888"/>
      <c r="X163" s="888"/>
      <c r="Y163" s="273">
        <v>40</v>
      </c>
      <c r="Z163" s="349">
        <v>9</v>
      </c>
      <c r="AA163" s="350" t="s">
        <v>2609</v>
      </c>
    </row>
    <row r="164" spans="1:27" ht="16.5" customHeight="1">
      <c r="B164" s="56" t="str">
        <f t="shared" si="5"/>
        <v>qh = 50 kWh/(m²a)</v>
      </c>
      <c r="D164" s="158">
        <f>IF($Y$132=0,"",RechAnlageRange($AA$134:$AA$144,D$162,$Y164,$AA$132))</f>
        <v>48.096000000000004</v>
      </c>
      <c r="E164" s="37">
        <f>IF($Y$132=0,"",RechAnlageRange($AA$134:$AA$144,E$162,$Y164,$AA$132))</f>
        <v>46.152000000000001</v>
      </c>
      <c r="F164" s="37">
        <f>IF($Y$132=0,"",RechAnlageRange($AA$134:$AA$144,F$162,$Y164,$AA$132))</f>
        <v>43.235999999999997</v>
      </c>
      <c r="G164" s="37">
        <f>IF($Y$132=0,"",RechAnlageRange($AA$134:$AA$144,G$162,$Y164,$AA$132))</f>
        <v>42.249600000000001</v>
      </c>
      <c r="H164" s="37">
        <f>IF($Y$132=0,"",RechAnlageRange($AA$134:$AA$144,H$162,$Y164,$AA$132))</f>
        <v>40.770000000000003</v>
      </c>
      <c r="I164" s="37">
        <f>IF($Y$132=0,"",RechAnlageRange($AA$134:$AA$144,I$162,$Y164,$AA$132))</f>
        <v>39.573</v>
      </c>
      <c r="J164" s="37">
        <f>IF($Y$132=0,"",RechAnlageRange($AA$134:$AA$144,J$162,$Y164,$AA$132))</f>
        <v>38.375999999999998</v>
      </c>
      <c r="K164" s="37">
        <f>IF($Y$132=0,"",RechAnlageRange($AA$134:$AA$144,K$162,$Y164,$AA$132))</f>
        <v>37.8675</v>
      </c>
      <c r="L164" s="37">
        <f>IF($Y$132=0,"",RechAnlageRange($AA$134:$AA$144,L$162,$Y164,$AA$132))</f>
        <v>37.359000000000002</v>
      </c>
      <c r="M164" s="37">
        <f>IF($Y$132=0,"",RechAnlageRange($AA$134:$AA$144,M$162,$Y164,$AA$132))</f>
        <v>36.850500000000004</v>
      </c>
      <c r="N164" s="159">
        <f>IF($Y$132=0,"",RechAnlageRange($AA$134:$AA$144,N$162,$Y164,$AA$132))</f>
        <v>36.341999999999999</v>
      </c>
      <c r="Q164" s="888"/>
      <c r="R164" s="888"/>
      <c r="S164" s="888"/>
      <c r="T164" s="888"/>
      <c r="U164" s="888"/>
      <c r="V164" s="888"/>
      <c r="W164" s="888"/>
      <c r="Y164" s="273">
        <v>50</v>
      </c>
      <c r="Z164" s="349">
        <v>10</v>
      </c>
      <c r="AA164" s="350" t="s">
        <v>2610</v>
      </c>
    </row>
    <row r="165" spans="1:27" ht="16.5" customHeight="1">
      <c r="B165" s="56" t="str">
        <f t="shared" si="5"/>
        <v>qh = 60 kWh/(m²a)</v>
      </c>
      <c r="D165" s="158">
        <f>IF($Y$132=0,"",RechAnlageRange($AA$134:$AA$144,D$162,$Y165,$AA$132))</f>
        <v>53.496000000000002</v>
      </c>
      <c r="E165" s="37">
        <f>IF($Y$132=0,"",RechAnlageRange($AA$134:$AA$144,E$162,$Y165,$AA$132))</f>
        <v>51.552</v>
      </c>
      <c r="F165" s="37">
        <f>IF($Y$132=0,"",RechAnlageRange($AA$134:$AA$144,F$162,$Y165,$AA$132))</f>
        <v>48.636000000000003</v>
      </c>
      <c r="G165" s="37">
        <f>IF($Y$132=0,"",RechAnlageRange($AA$134:$AA$144,G$162,$Y165,$AA$132))</f>
        <v>47.6496</v>
      </c>
      <c r="H165" s="37">
        <f>IF($Y$132=0,"",RechAnlageRange($AA$134:$AA$144,H$162,$Y165,$AA$132))</f>
        <v>46.17</v>
      </c>
      <c r="I165" s="37">
        <f>IF($Y$132=0,"",RechAnlageRange($AA$134:$AA$144,I$162,$Y165,$AA$132))</f>
        <v>44.972999999999999</v>
      </c>
      <c r="J165" s="37">
        <f>IF($Y$132=0,"",RechAnlageRange($AA$134:$AA$144,J$162,$Y165,$AA$132))</f>
        <v>43.775999999999996</v>
      </c>
      <c r="K165" s="37">
        <f>IF($Y$132=0,"",RechAnlageRange($AA$134:$AA$144,K$162,$Y165,$AA$132))</f>
        <v>43.267499999999998</v>
      </c>
      <c r="L165" s="37">
        <f>IF($Y$132=0,"",RechAnlageRange($AA$134:$AA$144,L$162,$Y165,$AA$132))</f>
        <v>42.759</v>
      </c>
      <c r="M165" s="37">
        <f>IF($Y$132=0,"",RechAnlageRange($AA$134:$AA$144,M$162,$Y165,$AA$132))</f>
        <v>42.250500000000002</v>
      </c>
      <c r="N165" s="159">
        <f>IF($Y$132=0,"",RechAnlageRange($AA$134:$AA$144,N$162,$Y165,$AA$132))</f>
        <v>41.741999999999997</v>
      </c>
      <c r="Y165" s="273">
        <v>60</v>
      </c>
      <c r="Z165" s="349">
        <v>11</v>
      </c>
      <c r="AA165" s="350" t="s">
        <v>3279</v>
      </c>
    </row>
    <row r="166" spans="1:27" ht="16.5" customHeight="1">
      <c r="B166" s="56" t="str">
        <f t="shared" si="5"/>
        <v>qh = 70 kWh/(m²a)</v>
      </c>
      <c r="D166" s="158">
        <f>IF($Y$132=0,"",RechAnlageRange($AA$134:$AA$144,D$162,$Y166,$AA$132))</f>
        <v>58.896000000000001</v>
      </c>
      <c r="E166" s="37">
        <f>IF($Y$132=0,"",RechAnlageRange($AA$134:$AA$144,E$162,$Y166,$AA$132))</f>
        <v>56.951999999999998</v>
      </c>
      <c r="F166" s="37">
        <f>IF($Y$132=0,"",RechAnlageRange($AA$134:$AA$144,F$162,$Y166,$AA$132))</f>
        <v>54.036000000000001</v>
      </c>
      <c r="G166" s="37">
        <f>IF($Y$132=0,"",RechAnlageRange($AA$134:$AA$144,G$162,$Y166,$AA$132))</f>
        <v>53.049599999999998</v>
      </c>
      <c r="H166" s="37">
        <f>IF($Y$132=0,"",RechAnlageRange($AA$134:$AA$144,H$162,$Y166,$AA$132))</f>
        <v>51.57</v>
      </c>
      <c r="I166" s="37">
        <f>IF($Y$132=0,"",RechAnlageRange($AA$134:$AA$144,I$162,$Y166,$AA$132))</f>
        <v>50.373000000000005</v>
      </c>
      <c r="J166" s="37">
        <f>IF($Y$132=0,"",RechAnlageRange($AA$134:$AA$144,J$162,$Y166,$AA$132))</f>
        <v>49.176000000000002</v>
      </c>
      <c r="K166" s="37">
        <f>IF($Y$132=0,"",RechAnlageRange($AA$134:$AA$144,K$162,$Y166,$AA$132))</f>
        <v>48.667500000000004</v>
      </c>
      <c r="L166" s="37">
        <f>IF($Y$132=0,"",RechAnlageRange($AA$134:$AA$144,L$162,$Y166,$AA$132))</f>
        <v>48.158999999999999</v>
      </c>
      <c r="M166" s="37">
        <f>IF($Y$132=0,"",RechAnlageRange($AA$134:$AA$144,M$162,$Y166,$AA$132))</f>
        <v>47.650500000000001</v>
      </c>
      <c r="N166" s="159">
        <f>IF($Y$132=0,"",RechAnlageRange($AA$134:$AA$144,N$162,$Y166,$AA$132))</f>
        <v>47.142000000000003</v>
      </c>
      <c r="Y166" s="273">
        <v>70</v>
      </c>
      <c r="Z166" s="349">
        <v>12</v>
      </c>
      <c r="AA166" s="350" t="s">
        <v>3280</v>
      </c>
    </row>
    <row r="167" spans="1:27" ht="16.5" customHeight="1">
      <c r="B167" s="56" t="str">
        <f t="shared" si="5"/>
        <v>qh = 80 kWh/(m²a)</v>
      </c>
      <c r="D167" s="158">
        <f>IF($Y$132=0,"",RechAnlageRange($AA$134:$AA$144,D$162,$Y167,$AA$132))</f>
        <v>64.296000000000006</v>
      </c>
      <c r="E167" s="37">
        <f>IF($Y$132=0,"",RechAnlageRange($AA$134:$AA$144,E$162,$Y167,$AA$132))</f>
        <v>62.352000000000004</v>
      </c>
      <c r="F167" s="37">
        <f>IF($Y$132=0,"",RechAnlageRange($AA$134:$AA$144,F$162,$Y167,$AA$132))</f>
        <v>59.436</v>
      </c>
      <c r="G167" s="37">
        <f>IF($Y$132=0,"",RechAnlageRange($AA$134:$AA$144,G$162,$Y167,$AA$132))</f>
        <v>58.449600000000004</v>
      </c>
      <c r="H167" s="37">
        <f>IF($Y$132=0,"",RechAnlageRange($AA$134:$AA$144,H$162,$Y167,$AA$132))</f>
        <v>56.970000000000006</v>
      </c>
      <c r="I167" s="37">
        <f>IF($Y$132=0,"",RechAnlageRange($AA$134:$AA$144,I$162,$Y167,$AA$132))</f>
        <v>55.773000000000003</v>
      </c>
      <c r="J167" s="37">
        <f>IF($Y$132=0,"",RechAnlageRange($AA$134:$AA$144,J$162,$Y167,$AA$132))</f>
        <v>54.576000000000001</v>
      </c>
      <c r="K167" s="37">
        <f>IF($Y$132=0,"",RechAnlageRange($AA$134:$AA$144,K$162,$Y167,$AA$132))</f>
        <v>54.067500000000003</v>
      </c>
      <c r="L167" s="37">
        <f>IF($Y$132=0,"",RechAnlageRange($AA$134:$AA$144,L$162,$Y167,$AA$132))</f>
        <v>53.559000000000005</v>
      </c>
      <c r="M167" s="37">
        <f>IF($Y$132=0,"",RechAnlageRange($AA$134:$AA$144,M$162,$Y167,$AA$132))</f>
        <v>53.0505</v>
      </c>
      <c r="N167" s="159">
        <f>IF($Y$132=0,"",RechAnlageRange($AA$134:$AA$144,N$162,$Y167,$AA$132))</f>
        <v>52.542000000000002</v>
      </c>
      <c r="Y167" s="273">
        <v>80</v>
      </c>
      <c r="Z167" s="349">
        <v>13</v>
      </c>
      <c r="AA167" s="350" t="s">
        <v>3281</v>
      </c>
    </row>
    <row r="168" spans="1:27" ht="16.5" customHeight="1">
      <c r="B168" s="56" t="str">
        <f t="shared" si="5"/>
        <v>qh = 90 kWh/(m²a)</v>
      </c>
      <c r="D168" s="153">
        <f>IF($Y$132=0,"",RechAnlageRange($AA$134:$AA$144,D$162,$Y168,$AA$132))</f>
        <v>69.695999999999998</v>
      </c>
      <c r="E168" s="154">
        <f>IF($Y$132=0,"",RechAnlageRange($AA$134:$AA$144,E$162,$Y168,$AA$132))</f>
        <v>67.751999999999995</v>
      </c>
      <c r="F168" s="154">
        <f>IF($Y$132=0,"",RechAnlageRange($AA$134:$AA$144,F$162,$Y168,$AA$132))</f>
        <v>64.835999999999999</v>
      </c>
      <c r="G168" s="154">
        <f>IF($Y$132=0,"",RechAnlageRange($AA$134:$AA$144,G$162,$Y168,$AA$132))</f>
        <v>63.849600000000002</v>
      </c>
      <c r="H168" s="154">
        <f>IF($Y$132=0,"",RechAnlageRange($AA$134:$AA$144,H$162,$Y168,$AA$132))</f>
        <v>62.370000000000005</v>
      </c>
      <c r="I168" s="154">
        <f>IF($Y$132=0,"",RechAnlageRange($AA$134:$AA$144,I$162,$Y168,$AA$132))</f>
        <v>61.173000000000002</v>
      </c>
      <c r="J168" s="154">
        <f>IF($Y$132=0,"",RechAnlageRange($AA$134:$AA$144,J$162,$Y168,$AA$132))</f>
        <v>59.975999999999999</v>
      </c>
      <c r="K168" s="154">
        <f>IF($Y$132=0,"",RechAnlageRange($AA$134:$AA$144,K$162,$Y168,$AA$132))</f>
        <v>59.467500000000001</v>
      </c>
      <c r="L168" s="154">
        <f>IF($Y$132=0,"",RechAnlageRange($AA$134:$AA$144,L$162,$Y168,$AA$132))</f>
        <v>58.959000000000003</v>
      </c>
      <c r="M168" s="154">
        <f>IF($Y$132=0,"",RechAnlageRange($AA$134:$AA$144,M$162,$Y168,$AA$132))</f>
        <v>58.450499999999998</v>
      </c>
      <c r="N168" s="160">
        <f>IF($Y$132=0,"",RechAnlageRange($AA$134:$AA$144,N$162,$Y168,$AA$132))</f>
        <v>57.942</v>
      </c>
      <c r="Y168" s="273">
        <v>90</v>
      </c>
      <c r="Z168" s="351">
        <v>14</v>
      </c>
      <c r="AA168" s="352" t="s">
        <v>3282</v>
      </c>
    </row>
    <row r="169" spans="1:27" ht="16.5" customHeight="1"/>
    <row r="170" spans="1:27" ht="16.5" customHeight="1"/>
    <row r="176" spans="1:27">
      <c r="B176" s="213"/>
    </row>
    <row r="177" spans="2:24" ht="12">
      <c r="B177" s="214"/>
    </row>
    <row r="178" spans="2:24" ht="12">
      <c r="B178" s="214"/>
    </row>
    <row r="179" spans="2:24">
      <c r="B179" s="213"/>
    </row>
    <row r="180" spans="2:24">
      <c r="B180" s="213"/>
    </row>
    <row r="181" spans="2:24">
      <c r="B181" s="213"/>
      <c r="C181" s="213"/>
    </row>
    <row r="182" spans="2:24">
      <c r="B182" s="213"/>
      <c r="C182" s="213"/>
      <c r="E182" s="133"/>
      <c r="F182" s="133"/>
      <c r="G182" s="133"/>
      <c r="H182" s="133"/>
      <c r="I182" s="133"/>
      <c r="J182" s="133"/>
      <c r="K182" s="133"/>
      <c r="L182" s="133"/>
      <c r="M182" s="133"/>
      <c r="N182" s="133"/>
      <c r="O182" s="133"/>
      <c r="P182" s="133"/>
      <c r="Q182" s="133"/>
      <c r="R182" s="133"/>
      <c r="S182" s="133"/>
      <c r="T182" s="133"/>
      <c r="U182" s="133"/>
      <c r="V182" s="133"/>
      <c r="W182" s="133"/>
      <c r="X182" s="133"/>
    </row>
    <row r="183" spans="2:24">
      <c r="B183" s="213"/>
      <c r="C183" s="213"/>
      <c r="E183" s="133"/>
      <c r="F183" s="133"/>
      <c r="G183" s="133"/>
      <c r="H183" s="133"/>
      <c r="I183" s="133"/>
      <c r="J183" s="133"/>
      <c r="K183" s="133"/>
      <c r="L183" s="133"/>
      <c r="M183" s="133"/>
      <c r="N183" s="133"/>
      <c r="O183" s="133"/>
      <c r="P183" s="133"/>
      <c r="Q183" s="133"/>
      <c r="R183" s="133"/>
      <c r="S183" s="133"/>
      <c r="T183" s="133"/>
      <c r="U183" s="133"/>
      <c r="V183" s="133"/>
      <c r="W183" s="133"/>
      <c r="X183" s="133"/>
    </row>
    <row r="184" spans="2:24">
      <c r="B184" s="213"/>
      <c r="C184" s="213"/>
      <c r="E184" s="133"/>
      <c r="F184" s="133"/>
      <c r="G184" s="133"/>
      <c r="H184" s="133"/>
      <c r="I184" s="133"/>
      <c r="J184" s="133"/>
      <c r="K184" s="133"/>
      <c r="L184" s="133"/>
      <c r="M184" s="133"/>
      <c r="N184" s="133"/>
      <c r="O184" s="133"/>
      <c r="P184" s="133"/>
      <c r="Q184" s="133"/>
      <c r="R184" s="133"/>
      <c r="S184" s="133"/>
      <c r="T184" s="133"/>
      <c r="U184" s="133"/>
      <c r="V184" s="133"/>
      <c r="W184" s="133"/>
      <c r="X184" s="133"/>
    </row>
    <row r="185" spans="2:24">
      <c r="B185" s="213"/>
      <c r="C185" s="213"/>
      <c r="E185" s="133"/>
      <c r="F185" s="133"/>
      <c r="G185" s="133"/>
      <c r="H185" s="133"/>
      <c r="I185" s="133"/>
      <c r="J185" s="133"/>
      <c r="K185" s="133"/>
      <c r="L185" s="133"/>
      <c r="M185" s="133"/>
      <c r="N185" s="133"/>
      <c r="O185" s="133"/>
      <c r="P185" s="133"/>
      <c r="Q185" s="133"/>
      <c r="R185" s="133"/>
      <c r="S185" s="133"/>
      <c r="T185" s="133"/>
      <c r="U185" s="133"/>
      <c r="V185" s="133"/>
      <c r="W185" s="133"/>
      <c r="X185" s="133"/>
    </row>
    <row r="186" spans="2:24">
      <c r="B186" s="442"/>
      <c r="C186" s="213"/>
      <c r="E186" s="133"/>
      <c r="F186" s="133"/>
      <c r="G186" s="133"/>
      <c r="H186" s="133"/>
      <c r="I186" s="133"/>
      <c r="J186" s="133"/>
      <c r="K186" s="133"/>
      <c r="L186" s="133"/>
      <c r="M186" s="133"/>
      <c r="N186" s="133"/>
      <c r="O186" s="133"/>
      <c r="P186" s="133"/>
      <c r="Q186" s="133"/>
      <c r="R186" s="133"/>
      <c r="S186" s="133"/>
      <c r="T186" s="133"/>
      <c r="U186" s="133"/>
      <c r="V186" s="133"/>
      <c r="W186" s="133"/>
      <c r="X186" s="133"/>
    </row>
    <row r="187" spans="2:24" ht="12">
      <c r="B187" s="442"/>
      <c r="C187" s="213"/>
      <c r="D187" s="214"/>
      <c r="E187" s="133"/>
      <c r="F187" s="133"/>
      <c r="G187" s="133"/>
      <c r="H187" s="133"/>
      <c r="I187" s="133"/>
      <c r="J187" s="133"/>
      <c r="K187" s="133"/>
      <c r="L187" s="133"/>
      <c r="M187" s="133"/>
      <c r="N187" s="133"/>
      <c r="O187" s="133"/>
      <c r="P187" s="133"/>
      <c r="Q187" s="133"/>
      <c r="R187" s="133"/>
      <c r="S187" s="133"/>
      <c r="T187" s="133"/>
      <c r="U187" s="133"/>
      <c r="V187" s="133"/>
      <c r="W187" s="133"/>
      <c r="X187" s="133"/>
    </row>
    <row r="188" spans="2:24" ht="12">
      <c r="B188" s="214"/>
      <c r="C188" s="213"/>
      <c r="D188" s="214"/>
      <c r="E188" s="133"/>
      <c r="F188" s="133"/>
      <c r="G188" s="133"/>
      <c r="H188" s="133"/>
      <c r="I188" s="133"/>
      <c r="J188" s="133"/>
      <c r="K188" s="133"/>
      <c r="L188" s="133"/>
      <c r="M188" s="133"/>
      <c r="N188" s="133"/>
      <c r="O188" s="133"/>
      <c r="P188" s="133"/>
      <c r="Q188" s="133"/>
      <c r="R188" s="133"/>
      <c r="S188" s="133"/>
      <c r="T188" s="133"/>
      <c r="U188" s="133"/>
      <c r="V188" s="133"/>
      <c r="W188" s="133"/>
      <c r="X188" s="133"/>
    </row>
    <row r="189" spans="2:24" ht="12">
      <c r="B189" s="214"/>
      <c r="C189" s="213"/>
      <c r="D189" s="214"/>
      <c r="E189" s="133"/>
      <c r="F189" s="133"/>
      <c r="G189" s="133"/>
      <c r="H189" s="133"/>
      <c r="I189" s="133"/>
      <c r="J189" s="133"/>
      <c r="K189" s="133"/>
      <c r="L189" s="133"/>
      <c r="M189" s="133"/>
      <c r="N189" s="133"/>
      <c r="O189" s="133"/>
      <c r="P189" s="133"/>
      <c r="Q189" s="133"/>
      <c r="R189" s="133"/>
      <c r="S189" s="133"/>
      <c r="T189" s="133"/>
      <c r="U189" s="133"/>
      <c r="V189" s="133"/>
      <c r="W189" s="133"/>
      <c r="X189" s="133"/>
    </row>
    <row r="190" spans="2:24">
      <c r="B190" s="213"/>
      <c r="C190" s="213"/>
      <c r="D190" s="213"/>
      <c r="E190" s="133"/>
      <c r="F190" s="133"/>
      <c r="G190" s="133"/>
      <c r="H190" s="133"/>
      <c r="I190" s="133"/>
      <c r="J190" s="133"/>
      <c r="K190" s="133"/>
      <c r="L190" s="133"/>
      <c r="M190" s="133"/>
      <c r="N190" s="133"/>
      <c r="O190" s="133"/>
      <c r="P190" s="133"/>
      <c r="Q190" s="133"/>
      <c r="R190" s="133"/>
      <c r="S190" s="133"/>
      <c r="T190" s="133"/>
      <c r="U190" s="133"/>
      <c r="V190" s="133"/>
      <c r="W190" s="133"/>
      <c r="X190" s="133"/>
    </row>
    <row r="191" spans="2:24">
      <c r="B191" s="441"/>
      <c r="C191" s="213"/>
      <c r="D191" s="213"/>
      <c r="E191" s="133"/>
      <c r="F191" s="133"/>
      <c r="G191" s="133"/>
      <c r="H191" s="133"/>
      <c r="I191" s="133"/>
      <c r="J191" s="133"/>
      <c r="K191" s="133"/>
      <c r="L191" s="133"/>
      <c r="M191" s="133"/>
      <c r="N191" s="133"/>
      <c r="O191" s="133"/>
      <c r="P191" s="133"/>
      <c r="Q191" s="133"/>
      <c r="R191" s="133"/>
      <c r="S191" s="133"/>
      <c r="T191" s="133"/>
      <c r="U191" s="133"/>
      <c r="V191" s="133"/>
      <c r="W191" s="133"/>
      <c r="X191" s="133"/>
    </row>
    <row r="192" spans="2:24" ht="12">
      <c r="B192" s="442"/>
      <c r="C192" s="213"/>
      <c r="D192" s="214"/>
      <c r="E192" s="133"/>
      <c r="F192" s="133"/>
      <c r="G192" s="133"/>
      <c r="H192" s="133"/>
      <c r="I192" s="133"/>
      <c r="J192" s="133"/>
      <c r="K192" s="133"/>
      <c r="L192" s="133"/>
      <c r="M192" s="133"/>
      <c r="N192" s="133"/>
      <c r="O192" s="133"/>
      <c r="P192" s="133"/>
      <c r="Q192" s="133"/>
      <c r="R192" s="133"/>
      <c r="S192" s="133"/>
      <c r="T192" s="133"/>
      <c r="U192" s="133"/>
      <c r="V192" s="133"/>
      <c r="W192" s="133"/>
      <c r="X192" s="133"/>
    </row>
    <row r="193" spans="1:25" ht="12">
      <c r="B193" s="213"/>
      <c r="C193" s="213"/>
      <c r="D193" s="214"/>
      <c r="E193" s="133"/>
      <c r="F193" s="133"/>
      <c r="G193" s="133"/>
      <c r="H193" s="133"/>
      <c r="I193" s="133"/>
      <c r="J193" s="133"/>
      <c r="K193" s="133"/>
      <c r="L193" s="133"/>
      <c r="M193" s="133"/>
      <c r="N193" s="133"/>
      <c r="O193" s="133"/>
      <c r="P193" s="133"/>
      <c r="Q193" s="133"/>
      <c r="R193" s="133"/>
      <c r="S193" s="133"/>
      <c r="T193" s="133"/>
      <c r="U193" s="133"/>
      <c r="V193" s="133"/>
      <c r="W193" s="133"/>
      <c r="X193" s="133"/>
    </row>
    <row r="194" spans="1:25" ht="12">
      <c r="B194" s="214"/>
      <c r="C194" s="213"/>
      <c r="D194" s="213"/>
      <c r="E194" s="133"/>
      <c r="F194" s="133"/>
      <c r="G194" s="133"/>
      <c r="H194" s="133"/>
      <c r="I194" s="133"/>
      <c r="J194" s="133"/>
      <c r="K194" s="133"/>
      <c r="L194" s="133"/>
      <c r="M194" s="133"/>
      <c r="N194" s="133"/>
      <c r="O194" s="133"/>
      <c r="P194" s="133"/>
      <c r="Q194" s="133"/>
      <c r="R194" s="133"/>
      <c r="S194" s="133"/>
      <c r="T194" s="133"/>
      <c r="U194" s="133"/>
      <c r="V194" s="133"/>
      <c r="W194" s="133"/>
      <c r="X194" s="133"/>
    </row>
    <row r="195" spans="1:25">
      <c r="B195" s="441"/>
      <c r="C195" s="213"/>
      <c r="D195" s="213"/>
      <c r="E195" s="133"/>
      <c r="F195" s="133"/>
      <c r="G195" s="133"/>
      <c r="H195" s="133"/>
      <c r="I195" s="133"/>
      <c r="J195" s="133"/>
      <c r="K195" s="133"/>
      <c r="L195" s="133"/>
      <c r="M195" s="133"/>
      <c r="N195" s="133"/>
      <c r="O195" s="133"/>
      <c r="P195" s="133"/>
      <c r="Q195" s="133"/>
      <c r="R195" s="133"/>
      <c r="S195" s="133"/>
      <c r="T195" s="133"/>
      <c r="U195" s="133"/>
      <c r="V195" s="133"/>
      <c r="W195" s="133"/>
      <c r="X195" s="133"/>
    </row>
    <row r="196" spans="1:25" ht="12">
      <c r="A196" s="133"/>
      <c r="B196" s="441"/>
      <c r="C196" s="213"/>
      <c r="D196" s="214"/>
      <c r="E196" s="133"/>
      <c r="F196" s="133"/>
      <c r="G196" s="133"/>
      <c r="H196" s="133"/>
      <c r="I196" s="133"/>
      <c r="J196" s="133"/>
      <c r="K196" s="133"/>
      <c r="L196" s="133"/>
      <c r="M196" s="133"/>
      <c r="N196" s="133"/>
      <c r="O196" s="133"/>
      <c r="P196" s="133"/>
      <c r="Q196" s="133"/>
      <c r="R196" s="133"/>
      <c r="S196" s="133"/>
      <c r="T196" s="133"/>
      <c r="U196" s="133"/>
      <c r="V196" s="133"/>
      <c r="W196" s="133"/>
      <c r="X196" s="133"/>
      <c r="Y196" s="197"/>
    </row>
    <row r="197" spans="1:25" ht="12">
      <c r="B197" s="441"/>
      <c r="C197" s="213"/>
      <c r="D197" s="214"/>
    </row>
    <row r="198" spans="1:25" ht="12">
      <c r="B198" s="441"/>
      <c r="C198" s="213"/>
      <c r="D198" s="214"/>
    </row>
    <row r="199" spans="1:25" ht="12">
      <c r="B199" s="441"/>
      <c r="C199" s="213"/>
      <c r="D199" s="214"/>
    </row>
    <row r="200" spans="1:25" ht="12">
      <c r="B200" s="441"/>
      <c r="C200" s="213"/>
      <c r="D200" s="214"/>
    </row>
    <row r="201" spans="1:25" ht="12">
      <c r="B201" s="441"/>
      <c r="C201" s="213"/>
      <c r="D201" s="214"/>
    </row>
  </sheetData>
  <sheetProtection algorithmName="SHA-512" hashValue="xwZxKm3sZwDCsArnpcnQsxuWT1NjpIOci7h71C0EfAOgZvPyVkNardN6ze13SyZbxrK1wI2KjKbVPyQW5PjwjQ==" saltValue="B5QFvbTgvBks51KoNDaIiA==" spinCount="100000" sheet="1" objects="1" scenarios="1"/>
  <mergeCells count="2">
    <mergeCell ref="C138:D138"/>
    <mergeCell ref="E138:O138"/>
  </mergeCells>
  <pageMargins left="0.70866141732283472" right="0.70866141732283472" top="0.78740157480314965" bottom="0.78740157480314965" header="0.31496062992125984" footer="0.31496062992125984"/>
  <pageSetup paperSize="9" scale="86" fitToHeight="0" orientation="portrait" r:id="rId1"/>
  <headerFooter>
    <oddFooter>&amp;L&amp;G&amp;C&amp;"Arial,Standard"&amp;9A. Maas und K. Höttges
V4.0, April 2023&amp;R&amp;"Arial,Standard"&amp;9Berechnungsblatt GEG 2023, Blatt '&amp;A'
Seite &amp;P von &amp;N</oddFooter>
  </headerFooter>
  <rowBreaks count="3" manualBreakCount="3">
    <brk id="35" max="14" man="1"/>
    <brk id="90" max="14" man="1"/>
    <brk id="129" max="14"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Button 1">
              <controlPr defaultSize="0" print="0" autoFill="0" autoPict="0" macro="[0]!ZeilenEinAusBlendenAlle">
                <anchor moveWithCells="1">
                  <from>
                    <xdr:col>15</xdr:col>
                    <xdr:colOff>7620</xdr:colOff>
                    <xdr:row>0</xdr:row>
                    <xdr:rowOff>0</xdr:rowOff>
                  </from>
                  <to>
                    <xdr:col>15</xdr:col>
                    <xdr:colOff>251460</xdr:colOff>
                    <xdr:row>0</xdr:row>
                    <xdr:rowOff>236220</xdr:rowOff>
                  </to>
                </anchor>
              </controlPr>
            </control>
          </mc:Choice>
        </mc:AlternateContent>
        <mc:AlternateContent xmlns:mc="http://schemas.openxmlformats.org/markup-compatibility/2006">
          <mc:Choice Requires="x14">
            <control shapeId="3075" r:id="rId6" name="Button 3">
              <controlPr defaultSize="0" print="0" autoFill="0" autoPict="0" macro="[0]!ZeilenEinAusBlendenEinzeln">
                <anchor moveWithCells="1">
                  <from>
                    <xdr:col>15</xdr:col>
                    <xdr:colOff>7620</xdr:colOff>
                    <xdr:row>35</xdr:row>
                    <xdr:rowOff>7620</xdr:rowOff>
                  </from>
                  <to>
                    <xdr:col>15</xdr:col>
                    <xdr:colOff>251460</xdr:colOff>
                    <xdr:row>36</xdr:row>
                    <xdr:rowOff>0</xdr:rowOff>
                  </to>
                </anchor>
              </controlPr>
            </control>
          </mc:Choice>
        </mc:AlternateContent>
        <mc:AlternateContent xmlns:mc="http://schemas.openxmlformats.org/markup-compatibility/2006">
          <mc:Choice Requires="x14">
            <control shapeId="3077" r:id="rId7" name="Button 5">
              <controlPr defaultSize="0" print="0" autoFill="0" autoPict="0" macro="[0]!ZeilenEinAusBlendenEinzeln">
                <anchor moveWithCells="1">
                  <from>
                    <xdr:col>15</xdr:col>
                    <xdr:colOff>7620</xdr:colOff>
                    <xdr:row>3</xdr:row>
                    <xdr:rowOff>7620</xdr:rowOff>
                  </from>
                  <to>
                    <xdr:col>15</xdr:col>
                    <xdr:colOff>251460</xdr:colOff>
                    <xdr:row>4</xdr:row>
                    <xdr:rowOff>0</xdr:rowOff>
                  </to>
                </anchor>
              </controlPr>
            </control>
          </mc:Choice>
        </mc:AlternateContent>
        <mc:AlternateContent xmlns:mc="http://schemas.openxmlformats.org/markup-compatibility/2006">
          <mc:Choice Requires="x14">
            <control shapeId="3078" r:id="rId8" name="Button 6">
              <controlPr defaultSize="0" print="0" autoFill="0" autoPict="0" macro="[0]!ZeilenEinAusBlendenEinzeln">
                <anchor moveWithCells="1">
                  <from>
                    <xdr:col>15</xdr:col>
                    <xdr:colOff>7620</xdr:colOff>
                    <xdr:row>90</xdr:row>
                    <xdr:rowOff>7620</xdr:rowOff>
                  </from>
                  <to>
                    <xdr:col>15</xdr:col>
                    <xdr:colOff>251460</xdr:colOff>
                    <xdr:row>91</xdr:row>
                    <xdr:rowOff>0</xdr:rowOff>
                  </to>
                </anchor>
              </controlPr>
            </control>
          </mc:Choice>
        </mc:AlternateContent>
        <mc:AlternateContent xmlns:mc="http://schemas.openxmlformats.org/markup-compatibility/2006">
          <mc:Choice Requires="x14">
            <control shapeId="3079" r:id="rId9" name="Button 7">
              <controlPr defaultSize="0" print="0" autoFill="0" autoPict="0" macro="[0]!ZeilenEinAusBlendenEinzeln">
                <anchor moveWithCells="1">
                  <from>
                    <xdr:col>15</xdr:col>
                    <xdr:colOff>7620</xdr:colOff>
                    <xdr:row>129</xdr:row>
                    <xdr:rowOff>7620</xdr:rowOff>
                  </from>
                  <to>
                    <xdr:col>15</xdr:col>
                    <xdr:colOff>251460</xdr:colOff>
                    <xdr:row>130</xdr:row>
                    <xdr:rowOff>0</xdr:rowOff>
                  </to>
                </anchor>
              </controlPr>
            </control>
          </mc:Choice>
        </mc:AlternateContent>
        <mc:AlternateContent xmlns:mc="http://schemas.openxmlformats.org/markup-compatibility/2006">
          <mc:Choice Requires="x14">
            <control shapeId="3081" r:id="rId10" name="List Box 9">
              <controlPr defaultSize="0" print="0" autoLine="0" autoPict="0">
                <anchor moveWithCells="1">
                  <from>
                    <xdr:col>16</xdr:col>
                    <xdr:colOff>137160</xdr:colOff>
                    <xdr:row>133</xdr:row>
                    <xdr:rowOff>22860</xdr:rowOff>
                  </from>
                  <to>
                    <xdr:col>27</xdr:col>
                    <xdr:colOff>22860</xdr:colOff>
                    <xdr:row>136</xdr:row>
                    <xdr:rowOff>114300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9"/>
  <dimension ref="A1:Y2442"/>
  <sheetViews>
    <sheetView showGridLines="0" zoomScaleNormal="100" workbookViewId="0">
      <pane ySplit="2" topLeftCell="A3" activePane="bottomLeft" state="frozen"/>
      <selection pane="bottomLeft"/>
    </sheetView>
  </sheetViews>
  <sheetFormatPr baseColWidth="10" defaultColWidth="11.44140625" defaultRowHeight="12"/>
  <cols>
    <col min="1" max="1" width="13.33203125" style="213" customWidth="1"/>
    <col min="2" max="2" width="11.5546875" style="213" customWidth="1"/>
    <col min="3" max="3" width="10.5546875" style="213" customWidth="1"/>
    <col min="4" max="4" width="10.109375" style="213" customWidth="1"/>
    <col min="5" max="5" width="10.109375" style="214" customWidth="1"/>
    <col min="6" max="9" width="10.5546875" style="213" customWidth="1"/>
    <col min="10" max="11" width="8.5546875" style="213" customWidth="1"/>
    <col min="12" max="14" width="8.5546875" style="216" customWidth="1"/>
    <col min="15" max="15" width="5.88671875" style="324" hidden="1" customWidth="1"/>
    <col min="16" max="16" width="5.88671875" style="323" hidden="1" customWidth="1"/>
    <col min="17" max="17" width="8.21875" style="323" hidden="1" customWidth="1"/>
    <col min="18" max="18" width="5.88671875" style="326" hidden="1" customWidth="1"/>
    <col min="19" max="19" width="7.21875" style="326" hidden="1" customWidth="1"/>
    <col min="20" max="20" width="5.88671875" style="327" hidden="1" customWidth="1"/>
    <col min="21" max="21" width="5.88671875" style="326" hidden="1" customWidth="1"/>
    <col min="22" max="22" width="5.88671875" style="328" hidden="1" customWidth="1"/>
    <col min="23" max="25" width="5.88671875" style="323" hidden="1" customWidth="1"/>
    <col min="26" max="16384" width="11.44140625" style="213"/>
  </cols>
  <sheetData>
    <row r="1" spans="1:25" ht="13.8">
      <c r="A1" s="65" t="s">
        <v>1183</v>
      </c>
      <c r="B1" s="65"/>
      <c r="C1" s="65"/>
      <c r="D1" s="65"/>
      <c r="E1" s="65" t="s">
        <v>955</v>
      </c>
      <c r="F1" s="65"/>
      <c r="G1" s="65"/>
      <c r="H1" s="65"/>
      <c r="I1" s="65"/>
      <c r="J1" s="1"/>
      <c r="K1" s="29" t="s">
        <v>299</v>
      </c>
      <c r="L1" s="1"/>
      <c r="O1" s="325" t="str">
        <f ca="1">MID(CELL("dateiname",A1),FIND("]",CELL("dateiname",A1))+1,255)</f>
        <v>Tabellen</v>
      </c>
    </row>
    <row r="2" spans="1:25" ht="13.8">
      <c r="A2" s="218"/>
      <c r="I2" s="1128" t="str">
        <f ca="1">Gebaeude!$I$2</f>
        <v>qP,vorh 33,8&lt;=38,5 kWh/(m²a)  |  HT',vorh 0,25&lt;=0,36 W/(m²K)</v>
      </c>
      <c r="J2" s="1"/>
      <c r="K2" s="29"/>
      <c r="L2" s="1"/>
    </row>
    <row r="3" spans="1:25" ht="13.8">
      <c r="A3" s="218" t="s">
        <v>1677</v>
      </c>
      <c r="J3" s="1"/>
      <c r="K3" s="29"/>
      <c r="L3" s="1"/>
      <c r="R3" s="329" t="s">
        <v>1672</v>
      </c>
      <c r="S3" s="330" t="s">
        <v>1721</v>
      </c>
      <c r="X3" s="324" t="s">
        <v>1656</v>
      </c>
      <c r="Y3" s="324" t="s">
        <v>1676</v>
      </c>
    </row>
    <row r="4" spans="1:25" ht="13.2">
      <c r="A4" s="214" t="s">
        <v>1717</v>
      </c>
      <c r="C4" s="453" t="s">
        <v>1722</v>
      </c>
      <c r="J4" s="1"/>
      <c r="K4" s="29"/>
      <c r="L4" s="1"/>
      <c r="R4" s="330"/>
      <c r="S4" s="330"/>
      <c r="X4" s="324"/>
      <c r="Y4" s="324"/>
    </row>
    <row r="5" spans="1:25" ht="13.2">
      <c r="A5" s="213" t="s">
        <v>3434</v>
      </c>
      <c r="C5" s="213" t="s">
        <v>1638</v>
      </c>
      <c r="J5" s="1"/>
      <c r="K5" s="1126"/>
      <c r="L5" s="1"/>
      <c r="O5" s="331" t="str">
        <f t="shared" ref="O5:O10" si="0">T5&amp;" DIN4108-4 Tab1"</f>
        <v>1 Putze, Mörtel, Estriche DIN4108-4 Tab1</v>
      </c>
      <c r="Q5" s="324" t="str">
        <f>AdresseBezug(X60:X62)</f>
        <v>X60:X62</v>
      </c>
      <c r="R5" s="330">
        <v>3</v>
      </c>
      <c r="S5" s="330">
        <v>2</v>
      </c>
      <c r="T5" s="335" t="str">
        <f>O60</f>
        <v>1 Putze, Mörtel, Estriche</v>
      </c>
      <c r="W5" s="331" t="s">
        <v>1117</v>
      </c>
      <c r="X5" s="324">
        <v>0.1</v>
      </c>
      <c r="Y5" s="324">
        <v>0.04</v>
      </c>
    </row>
    <row r="6" spans="1:25" ht="13.2">
      <c r="A6" s="214"/>
      <c r="C6" s="214" t="s">
        <v>1639</v>
      </c>
      <c r="J6" s="1"/>
      <c r="K6" s="29"/>
      <c r="L6" s="1"/>
      <c r="O6" s="332" t="str">
        <f t="shared" si="0"/>
        <v>2 Beton-Bauteile DIN4108-4 Tab1</v>
      </c>
      <c r="Q6" s="324" t="str">
        <f>AdresseBezug(X63:X66)</f>
        <v>X63:X66</v>
      </c>
      <c r="R6" s="330">
        <v>3</v>
      </c>
      <c r="S6" s="330">
        <f>S5</f>
        <v>2</v>
      </c>
      <c r="T6" s="335" t="str">
        <f>O87</f>
        <v>2 Beton-Bauteile</v>
      </c>
      <c r="W6" s="332" t="s">
        <v>1118</v>
      </c>
      <c r="X6" s="324">
        <v>0.13</v>
      </c>
      <c r="Y6" s="324">
        <v>0.04</v>
      </c>
    </row>
    <row r="7" spans="1:25" ht="13.2">
      <c r="A7" s="214"/>
      <c r="C7" s="214" t="s">
        <v>1640</v>
      </c>
      <c r="J7" s="1"/>
      <c r="K7" s="29"/>
      <c r="L7" s="1"/>
      <c r="O7" s="332" t="str">
        <f t="shared" si="0"/>
        <v>3 Bauplatten DIN4108-4 Tab1</v>
      </c>
      <c r="Q7" s="324" t="str">
        <f>AdresseBezug(X67:X70)</f>
        <v>X67:X70</v>
      </c>
      <c r="R7" s="330">
        <v>3</v>
      </c>
      <c r="S7" s="330">
        <f>S6</f>
        <v>2</v>
      </c>
      <c r="T7" s="335" t="str">
        <f>O154</f>
        <v>3 Bauplatten</v>
      </c>
      <c r="W7" s="332" t="s">
        <v>1119</v>
      </c>
      <c r="X7" s="324">
        <v>0.17</v>
      </c>
      <c r="Y7" s="324">
        <v>0.04</v>
      </c>
    </row>
    <row r="8" spans="1:25" ht="13.2">
      <c r="A8" s="213" t="s">
        <v>2287</v>
      </c>
      <c r="C8" s="213" t="s">
        <v>1641</v>
      </c>
      <c r="J8" s="1"/>
      <c r="K8" s="29"/>
      <c r="L8" s="1"/>
      <c r="O8" s="332" t="str">
        <f t="shared" si="0"/>
        <v>4 Mauerwerk DIN4108-4 Tab1</v>
      </c>
      <c r="Q8" s="324" t="str">
        <f>AdresseBezug(X71:X82)</f>
        <v>X71:X82</v>
      </c>
      <c r="R8" s="330">
        <v>3</v>
      </c>
      <c r="S8" s="330">
        <f>S7</f>
        <v>2</v>
      </c>
      <c r="T8" s="335" t="str">
        <f>O186</f>
        <v>4 Mauerwerk</v>
      </c>
      <c r="W8" s="332" t="s">
        <v>1881</v>
      </c>
      <c r="X8" s="324">
        <v>0.13</v>
      </c>
      <c r="Y8" s="324">
        <v>0</v>
      </c>
    </row>
    <row r="9" spans="1:25" ht="13.2">
      <c r="C9" s="214" t="s">
        <v>1642</v>
      </c>
      <c r="J9" s="1"/>
      <c r="K9" s="29"/>
      <c r="L9" s="1"/>
      <c r="O9" s="332" t="str">
        <f t="shared" si="0"/>
        <v>7 Belag, Dichtung DIN4108-4 Tab1</v>
      </c>
      <c r="Q9" s="324" t="str">
        <f>AdresseBezug(X83:X87)</f>
        <v>X83:X87</v>
      </c>
      <c r="R9" s="330">
        <v>3</v>
      </c>
      <c r="S9" s="330">
        <f>S8</f>
        <v>2</v>
      </c>
      <c r="T9" s="335" t="str">
        <f>O415</f>
        <v>7 Belag, Dichtung</v>
      </c>
      <c r="W9" s="332" t="s">
        <v>1882</v>
      </c>
      <c r="X9" s="324">
        <v>0.17</v>
      </c>
      <c r="Y9" s="324">
        <v>0</v>
      </c>
    </row>
    <row r="10" spans="1:25" ht="13.2">
      <c r="A10" s="213" t="s">
        <v>2288</v>
      </c>
      <c r="C10" s="213" t="s">
        <v>1643</v>
      </c>
      <c r="J10" s="1"/>
      <c r="K10" s="29"/>
      <c r="L10" s="1"/>
      <c r="O10" s="332" t="str">
        <f t="shared" si="0"/>
        <v>8 Sonstige DIN4108-4 Tab1</v>
      </c>
      <c r="Q10" s="324" t="str">
        <f>AdresseBezug(X88:X95)</f>
        <v>X88:X95</v>
      </c>
      <c r="R10" s="330">
        <v>3</v>
      </c>
      <c r="S10" s="330">
        <f>S9</f>
        <v>2</v>
      </c>
      <c r="T10" s="335" t="str">
        <f>O423</f>
        <v>8 Sonstige</v>
      </c>
      <c r="W10" s="332" t="str">
        <f>W5&amp;" - stark belüftet (Rse=Rsi)"</f>
        <v>Wärmestrom aufwärts - stark belüftet (Rse=Rsi)</v>
      </c>
      <c r="X10" s="324">
        <f>X5</f>
        <v>0.1</v>
      </c>
      <c r="Y10" s="324">
        <f>X10</f>
        <v>0.1</v>
      </c>
    </row>
    <row r="11" spans="1:25" ht="13.2">
      <c r="C11" s="214" t="s">
        <v>1644</v>
      </c>
      <c r="J11" s="1"/>
      <c r="K11" s="29"/>
      <c r="L11" s="1"/>
      <c r="O11" s="332" t="s">
        <v>2419</v>
      </c>
      <c r="Q11" s="324" t="str">
        <f>AdresseBezug(X468:X481)</f>
        <v>X468:X481</v>
      </c>
      <c r="R11" s="330">
        <v>3</v>
      </c>
      <c r="S11" s="330">
        <v>3</v>
      </c>
      <c r="W11" s="332" t="str">
        <f>W6&amp;" - stark belüftet (Rse=Rsi)"</f>
        <v>Wärmestrom horizontal - stark belüftet (Rse=Rsi)</v>
      </c>
      <c r="X11" s="324">
        <f>X6</f>
        <v>0.13</v>
      </c>
      <c r="Y11" s="324">
        <f>X11</f>
        <v>0.13</v>
      </c>
    </row>
    <row r="12" spans="1:25" ht="13.2">
      <c r="C12" s="214" t="s">
        <v>1659</v>
      </c>
      <c r="J12" s="1"/>
      <c r="K12" s="29"/>
      <c r="L12" s="1"/>
      <c r="O12" s="332" t="s">
        <v>1663</v>
      </c>
      <c r="Q12" s="324" t="str">
        <f>AdresseBezug(X786:X804)</f>
        <v>X786:X804</v>
      </c>
      <c r="R12" s="330">
        <v>3</v>
      </c>
      <c r="S12" s="330">
        <v>4</v>
      </c>
      <c r="W12" s="333" t="str">
        <f>W7&amp;" - stark belüftet (Rse=Rsi)"</f>
        <v>Wärmestrom abwärts - stark belüftet (Rse=Rsi)</v>
      </c>
      <c r="X12" s="324">
        <f>X7</f>
        <v>0.17</v>
      </c>
      <c r="Y12" s="324">
        <f>X12</f>
        <v>0.17</v>
      </c>
    </row>
    <row r="13" spans="1:25" ht="13.2">
      <c r="A13" s="213" t="s">
        <v>2630</v>
      </c>
      <c r="C13" s="213" t="s">
        <v>2629</v>
      </c>
      <c r="J13" s="1"/>
      <c r="K13" s="29"/>
      <c r="L13" s="1"/>
      <c r="O13" s="332" t="s">
        <v>1673</v>
      </c>
      <c r="Q13" s="324" t="str">
        <f>AdresseBezug(W5:W7)</f>
        <v>W5:W7</v>
      </c>
      <c r="R13" s="330">
        <v>2</v>
      </c>
      <c r="S13" s="330">
        <v>5</v>
      </c>
      <c r="W13" s="440"/>
      <c r="X13" s="324"/>
      <c r="Y13" s="324"/>
    </row>
    <row r="14" spans="1:25" ht="13.2">
      <c r="C14" s="214" t="s">
        <v>2553</v>
      </c>
      <c r="J14" s="1"/>
      <c r="K14" s="29"/>
      <c r="L14" s="1"/>
      <c r="O14" s="333" t="s">
        <v>822</v>
      </c>
      <c r="Q14" s="324" t="str">
        <f>AdresseBezug(A41:A55)</f>
        <v>A41:A55</v>
      </c>
      <c r="R14" s="330">
        <v>2</v>
      </c>
      <c r="S14" s="330">
        <v>6</v>
      </c>
      <c r="W14" s="440"/>
      <c r="X14" s="324"/>
      <c r="Y14" s="324"/>
    </row>
    <row r="15" spans="1:25" ht="13.2">
      <c r="A15" s="213" t="s">
        <v>2289</v>
      </c>
      <c r="C15" s="213" t="s">
        <v>2225</v>
      </c>
      <c r="J15" s="1"/>
      <c r="K15" s="29"/>
      <c r="L15" s="1"/>
      <c r="U15" s="330"/>
    </row>
    <row r="16" spans="1:25" ht="13.2">
      <c r="A16" s="442" t="s">
        <v>2216</v>
      </c>
      <c r="C16" s="214" t="s">
        <v>2217</v>
      </c>
      <c r="J16" s="1"/>
      <c r="K16" s="29"/>
      <c r="L16" s="1"/>
      <c r="O16" s="440"/>
      <c r="Q16" s="324"/>
      <c r="R16" s="330"/>
      <c r="S16" s="330"/>
      <c r="U16" s="330"/>
    </row>
    <row r="17" spans="1:21" ht="13.2">
      <c r="A17" s="442"/>
      <c r="C17" s="214" t="s">
        <v>2218</v>
      </c>
      <c r="J17" s="1"/>
      <c r="K17" s="29"/>
      <c r="L17" s="1"/>
      <c r="O17" s="440"/>
      <c r="Q17" s="324"/>
      <c r="R17" s="330"/>
      <c r="S17" s="330"/>
      <c r="U17" s="330"/>
    </row>
    <row r="18" spans="1:21" ht="13.2">
      <c r="A18" s="214"/>
      <c r="C18" s="214" t="s">
        <v>2219</v>
      </c>
      <c r="J18" s="1"/>
      <c r="K18" s="29"/>
      <c r="L18" s="1"/>
      <c r="O18" s="440"/>
      <c r="Q18" s="324"/>
      <c r="R18" s="330"/>
      <c r="S18" s="330"/>
      <c r="U18" s="330"/>
    </row>
    <row r="19" spans="1:21" ht="13.2">
      <c r="A19" s="214"/>
      <c r="C19" s="214" t="s">
        <v>2220</v>
      </c>
      <c r="J19" s="1"/>
      <c r="K19" s="29"/>
      <c r="L19" s="1"/>
      <c r="O19" s="440"/>
      <c r="Q19" s="324"/>
      <c r="R19" s="330"/>
      <c r="S19" s="330"/>
      <c r="U19" s="330"/>
    </row>
    <row r="20" spans="1:21" ht="13.2">
      <c r="A20" s="213" t="s">
        <v>2290</v>
      </c>
      <c r="C20" s="213" t="s">
        <v>2226</v>
      </c>
      <c r="E20" s="213"/>
      <c r="K20" s="29"/>
      <c r="L20" s="1"/>
      <c r="O20" s="440"/>
      <c r="Q20" s="324"/>
      <c r="R20" s="330"/>
      <c r="S20" s="330"/>
      <c r="U20" s="330"/>
    </row>
    <row r="21" spans="1:21" ht="13.2">
      <c r="A21" s="441" t="s">
        <v>2223</v>
      </c>
      <c r="C21" s="213" t="s">
        <v>2227</v>
      </c>
      <c r="E21" s="213"/>
      <c r="K21" s="29"/>
      <c r="L21" s="1"/>
      <c r="O21" s="440"/>
      <c r="Q21" s="324"/>
      <c r="R21" s="330"/>
      <c r="S21" s="330"/>
      <c r="U21" s="330"/>
    </row>
    <row r="22" spans="1:21" ht="13.2">
      <c r="A22" s="442" t="s">
        <v>2224</v>
      </c>
      <c r="C22" s="214" t="s">
        <v>2222</v>
      </c>
      <c r="E22" s="213"/>
      <c r="K22" s="29"/>
      <c r="L22" s="1"/>
      <c r="O22" s="440"/>
      <c r="Q22" s="324"/>
      <c r="R22" s="330"/>
      <c r="S22" s="330"/>
      <c r="U22" s="330"/>
    </row>
    <row r="23" spans="1:21" ht="13.2">
      <c r="C23" s="214" t="s">
        <v>2221</v>
      </c>
      <c r="E23" s="213"/>
      <c r="K23" s="29"/>
      <c r="L23" s="1"/>
      <c r="O23" s="440"/>
      <c r="Q23" s="324"/>
      <c r="R23" s="330"/>
      <c r="S23" s="330"/>
      <c r="U23" s="330"/>
    </row>
    <row r="24" spans="1:21" ht="13.2">
      <c r="A24" s="213" t="s">
        <v>3410</v>
      </c>
      <c r="C24" s="214" t="s">
        <v>3352</v>
      </c>
      <c r="E24" s="213"/>
      <c r="K24" s="29"/>
      <c r="L24" s="1"/>
      <c r="O24" s="440"/>
      <c r="Q24" s="324"/>
      <c r="R24" s="330"/>
      <c r="S24" s="330"/>
      <c r="U24" s="330"/>
    </row>
    <row r="25" spans="1:21" ht="13.2">
      <c r="A25" s="214" t="s">
        <v>2359</v>
      </c>
      <c r="C25" s="213" t="s">
        <v>2228</v>
      </c>
      <c r="E25" s="213"/>
      <c r="K25" s="29"/>
      <c r="L25" s="1"/>
      <c r="O25" s="440"/>
      <c r="Q25" s="324"/>
      <c r="R25" s="330"/>
      <c r="S25" s="330"/>
      <c r="U25" s="330"/>
    </row>
    <row r="26" spans="1:21" ht="13.2">
      <c r="A26" s="441"/>
      <c r="C26" s="213" t="s">
        <v>2313</v>
      </c>
      <c r="E26" s="213"/>
      <c r="K26" s="29"/>
      <c r="L26" s="1"/>
      <c r="O26" s="440"/>
      <c r="Q26" s="324"/>
      <c r="R26" s="330"/>
      <c r="S26" s="330"/>
      <c r="U26" s="330"/>
    </row>
    <row r="27" spans="1:21" ht="13.2">
      <c r="A27" s="441"/>
      <c r="C27" s="214" t="s">
        <v>2229</v>
      </c>
      <c r="E27" s="213"/>
      <c r="K27" s="29"/>
      <c r="L27" s="1"/>
      <c r="O27" s="440"/>
      <c r="Q27" s="324"/>
      <c r="R27" s="330"/>
      <c r="S27" s="330"/>
      <c r="U27" s="330"/>
    </row>
    <row r="28" spans="1:21" ht="13.2">
      <c r="A28" s="441"/>
      <c r="C28" s="214" t="s">
        <v>2335</v>
      </c>
      <c r="E28" s="213"/>
      <c r="K28" s="29"/>
      <c r="L28" s="1"/>
      <c r="O28" s="440"/>
      <c r="Q28" s="324"/>
      <c r="R28" s="330"/>
      <c r="S28" s="330"/>
      <c r="U28" s="330"/>
    </row>
    <row r="29" spans="1:21" ht="13.2">
      <c r="A29" s="441"/>
      <c r="C29" s="214" t="s">
        <v>2273</v>
      </c>
      <c r="E29" s="213"/>
      <c r="K29" s="29"/>
      <c r="L29" s="1"/>
      <c r="O29" s="440"/>
      <c r="Q29" s="324"/>
      <c r="R29" s="330"/>
      <c r="S29" s="330"/>
      <c r="U29" s="330"/>
    </row>
    <row r="30" spans="1:21" ht="13.2">
      <c r="A30" s="441"/>
      <c r="C30" s="214" t="s">
        <v>2334</v>
      </c>
      <c r="E30" s="213"/>
      <c r="K30" s="29"/>
      <c r="L30" s="1"/>
      <c r="O30" s="440"/>
      <c r="Q30" s="324"/>
      <c r="R30" s="330"/>
      <c r="S30" s="330"/>
      <c r="U30" s="330"/>
    </row>
    <row r="31" spans="1:21" ht="13.2">
      <c r="A31" s="441"/>
      <c r="C31" s="214" t="s">
        <v>2333</v>
      </c>
      <c r="E31" s="213"/>
      <c r="K31" s="29"/>
      <c r="L31" s="1"/>
      <c r="O31" s="440"/>
      <c r="Q31" s="324"/>
      <c r="R31" s="330"/>
      <c r="S31" s="330"/>
      <c r="U31" s="330"/>
    </row>
    <row r="32" spans="1:21" ht="13.2">
      <c r="A32" s="441"/>
      <c r="C32" s="214" t="s">
        <v>2438</v>
      </c>
      <c r="E32" s="213"/>
      <c r="K32" s="29"/>
      <c r="L32" s="1"/>
      <c r="O32" s="440"/>
      <c r="Q32" s="324"/>
      <c r="R32" s="330"/>
      <c r="S32" s="330"/>
      <c r="U32" s="330"/>
    </row>
    <row r="33" spans="1:21" ht="13.2">
      <c r="A33" s="213" t="s">
        <v>2777</v>
      </c>
      <c r="C33" s="214" t="s">
        <v>2778</v>
      </c>
      <c r="E33" s="213"/>
      <c r="K33" s="29"/>
      <c r="L33" s="1"/>
      <c r="O33" s="440"/>
      <c r="Q33" s="324"/>
      <c r="R33" s="330"/>
      <c r="S33" s="330"/>
      <c r="U33" s="330"/>
    </row>
    <row r="34" spans="1:21" ht="13.2">
      <c r="A34" s="213" t="s">
        <v>2782</v>
      </c>
      <c r="C34" s="214" t="s">
        <v>2783</v>
      </c>
      <c r="E34" s="213"/>
      <c r="K34" s="29"/>
      <c r="L34" s="1"/>
      <c r="O34" s="440"/>
      <c r="Q34" s="324"/>
      <c r="R34" s="330"/>
      <c r="S34" s="330"/>
      <c r="U34" s="330"/>
    </row>
    <row r="35" spans="1:21" ht="13.2">
      <c r="A35" s="441" t="s">
        <v>2817</v>
      </c>
      <c r="C35" s="214" t="s">
        <v>2815</v>
      </c>
      <c r="E35" s="213"/>
      <c r="K35" s="29"/>
      <c r="L35" s="1"/>
      <c r="O35" s="440"/>
      <c r="Q35" s="324"/>
      <c r="R35" s="330"/>
      <c r="S35" s="330"/>
      <c r="U35" s="330"/>
    </row>
    <row r="36" spans="1:21" ht="13.2">
      <c r="A36" s="441" t="s">
        <v>2818</v>
      </c>
      <c r="C36" s="214" t="s">
        <v>2816</v>
      </c>
      <c r="E36" s="213"/>
      <c r="K36" s="29"/>
      <c r="L36" s="1"/>
      <c r="O36" s="440"/>
      <c r="Q36" s="324"/>
      <c r="R36" s="330"/>
      <c r="S36" s="330"/>
      <c r="U36" s="330"/>
    </row>
    <row r="37" spans="1:21" ht="13.8">
      <c r="A37" s="218"/>
      <c r="J37" s="1"/>
      <c r="K37" s="29"/>
      <c r="L37" s="1"/>
      <c r="O37" s="440"/>
      <c r="Q37" s="324"/>
      <c r="R37" s="330"/>
      <c r="S37" s="330"/>
      <c r="U37" s="330"/>
    </row>
    <row r="38" spans="1:21" ht="13.8">
      <c r="A38" s="65" t="s">
        <v>1722</v>
      </c>
      <c r="B38" s="66"/>
      <c r="C38" s="66"/>
      <c r="D38" s="66"/>
      <c r="E38" s="66"/>
      <c r="F38" s="66"/>
      <c r="G38" s="165"/>
      <c r="H38" s="66"/>
      <c r="I38" s="66"/>
      <c r="J38" s="1"/>
      <c r="K38" s="122">
        <f>ROW(A39)</f>
        <v>39</v>
      </c>
      <c r="L38" s="122">
        <f>ROW(A55)</f>
        <v>55</v>
      </c>
      <c r="M38" s="122"/>
      <c r="N38" s="122"/>
      <c r="O38" s="334"/>
      <c r="Q38" s="330"/>
    </row>
    <row r="39" spans="1:21" ht="24" hidden="1">
      <c r="A39" s="223" t="s">
        <v>1718</v>
      </c>
      <c r="B39" s="290"/>
      <c r="C39" s="290"/>
      <c r="D39" s="290"/>
      <c r="E39" s="225"/>
      <c r="F39" s="225" t="s">
        <v>1166</v>
      </c>
      <c r="G39" s="222" t="s">
        <v>1719</v>
      </c>
      <c r="H39" s="223" t="s">
        <v>1720</v>
      </c>
      <c r="I39" s="225"/>
      <c r="J39" s="1"/>
      <c r="K39" s="29"/>
      <c r="L39" s="1"/>
      <c r="O39" s="334"/>
      <c r="Q39" s="324"/>
      <c r="R39" s="330"/>
    </row>
    <row r="40" spans="1:21" ht="13.2" hidden="1">
      <c r="A40" s="153"/>
      <c r="B40" s="265"/>
      <c r="C40" s="265"/>
      <c r="D40" s="265"/>
      <c r="E40" s="227"/>
      <c r="F40" s="226" t="s">
        <v>1167</v>
      </c>
      <c r="G40" s="220" t="s">
        <v>1169</v>
      </c>
      <c r="H40" s="291"/>
      <c r="I40" s="226"/>
      <c r="J40" s="1"/>
      <c r="K40" s="29"/>
      <c r="L40" s="1"/>
      <c r="O40" s="334"/>
      <c r="Q40" s="324"/>
      <c r="R40" s="330"/>
    </row>
    <row r="41" spans="1:21" ht="15" hidden="1" customHeight="1" thickBot="1">
      <c r="A41" s="1357"/>
      <c r="B41" s="1358"/>
      <c r="C41" s="1358"/>
      <c r="D41" s="1358"/>
      <c r="E41" s="1358"/>
      <c r="F41" s="769"/>
      <c r="G41" s="769"/>
      <c r="H41" s="1342"/>
      <c r="I41" s="1343"/>
      <c r="J41" s="1"/>
      <c r="K41" s="29"/>
      <c r="L41" s="1"/>
      <c r="O41" s="334"/>
      <c r="Q41" s="324"/>
      <c r="R41" s="330"/>
    </row>
    <row r="42" spans="1:21" ht="15" hidden="1" customHeight="1" thickBot="1">
      <c r="A42" s="1357"/>
      <c r="B42" s="1358"/>
      <c r="C42" s="1358"/>
      <c r="D42" s="1358"/>
      <c r="E42" s="1358"/>
      <c r="F42" s="569"/>
      <c r="G42" s="569"/>
      <c r="H42" s="1344"/>
      <c r="I42" s="1345"/>
      <c r="J42" s="1"/>
      <c r="K42" s="29"/>
      <c r="L42" s="1"/>
      <c r="O42" s="334"/>
      <c r="Q42" s="324"/>
      <c r="R42" s="330"/>
    </row>
    <row r="43" spans="1:21" ht="15" hidden="1" customHeight="1" thickBot="1">
      <c r="A43" s="1357"/>
      <c r="B43" s="1358"/>
      <c r="C43" s="1358"/>
      <c r="D43" s="1358"/>
      <c r="E43" s="1358"/>
      <c r="F43" s="569"/>
      <c r="G43" s="569"/>
      <c r="H43" s="1344"/>
      <c r="I43" s="1345"/>
      <c r="J43" s="1"/>
      <c r="K43" s="29"/>
      <c r="L43" s="1"/>
      <c r="O43" s="334"/>
      <c r="Q43" s="324"/>
      <c r="R43" s="330"/>
    </row>
    <row r="44" spans="1:21" ht="15" hidden="1" customHeight="1" thickBot="1">
      <c r="A44" s="1357"/>
      <c r="B44" s="1358"/>
      <c r="C44" s="1358"/>
      <c r="D44" s="1358"/>
      <c r="E44" s="1358"/>
      <c r="F44" s="569"/>
      <c r="G44" s="569"/>
      <c r="H44" s="1344"/>
      <c r="I44" s="1345"/>
      <c r="J44" s="1"/>
      <c r="K44" s="29"/>
      <c r="L44" s="1"/>
      <c r="O44" s="334"/>
      <c r="Q44" s="324"/>
      <c r="R44" s="330"/>
    </row>
    <row r="45" spans="1:21" ht="15" hidden="1" customHeight="1" thickBot="1">
      <c r="A45" s="1357"/>
      <c r="B45" s="1358"/>
      <c r="C45" s="1358"/>
      <c r="D45" s="1358"/>
      <c r="E45" s="1358"/>
      <c r="F45" s="569"/>
      <c r="G45" s="569"/>
      <c r="H45" s="1344"/>
      <c r="I45" s="1345"/>
      <c r="J45" s="1"/>
      <c r="K45" s="29"/>
      <c r="L45" s="1"/>
      <c r="O45" s="334"/>
      <c r="Q45" s="324"/>
      <c r="R45" s="330"/>
    </row>
    <row r="46" spans="1:21" ht="15" hidden="1" customHeight="1" thickBot="1">
      <c r="A46" s="1357"/>
      <c r="B46" s="1358"/>
      <c r="C46" s="1358"/>
      <c r="D46" s="1358"/>
      <c r="E46" s="1358"/>
      <c r="F46" s="569"/>
      <c r="G46" s="569"/>
      <c r="H46" s="1344"/>
      <c r="I46" s="1345"/>
      <c r="J46" s="1"/>
      <c r="K46" s="29"/>
      <c r="L46" s="1"/>
      <c r="O46" s="334"/>
      <c r="Q46" s="324"/>
      <c r="R46" s="330"/>
    </row>
    <row r="47" spans="1:21" ht="15" hidden="1" customHeight="1" thickBot="1">
      <c r="A47" s="1357"/>
      <c r="B47" s="1358"/>
      <c r="C47" s="1358"/>
      <c r="D47" s="1358"/>
      <c r="E47" s="1358"/>
      <c r="F47" s="569"/>
      <c r="G47" s="569"/>
      <c r="H47" s="1344"/>
      <c r="I47" s="1345"/>
      <c r="J47" s="1"/>
      <c r="K47" s="29"/>
      <c r="L47" s="1"/>
      <c r="O47" s="334"/>
      <c r="Q47" s="324"/>
      <c r="R47" s="330"/>
    </row>
    <row r="48" spans="1:21" ht="15" hidden="1" customHeight="1" thickBot="1">
      <c r="A48" s="1357"/>
      <c r="B48" s="1358"/>
      <c r="C48" s="1358"/>
      <c r="D48" s="1358"/>
      <c r="E48" s="1358"/>
      <c r="F48" s="569"/>
      <c r="G48" s="569"/>
      <c r="H48" s="1344"/>
      <c r="I48" s="1345"/>
      <c r="J48" s="1"/>
      <c r="K48" s="29"/>
      <c r="L48" s="1"/>
      <c r="O48" s="334"/>
      <c r="Q48" s="324"/>
      <c r="R48" s="330"/>
    </row>
    <row r="49" spans="1:25" ht="15" hidden="1" customHeight="1" thickBot="1">
      <c r="A49" s="1357"/>
      <c r="B49" s="1358"/>
      <c r="C49" s="1358"/>
      <c r="D49" s="1358"/>
      <c r="E49" s="1358"/>
      <c r="F49" s="569"/>
      <c r="G49" s="569"/>
      <c r="H49" s="1344"/>
      <c r="I49" s="1345"/>
      <c r="J49" s="1"/>
      <c r="K49" s="29"/>
      <c r="L49" s="1"/>
      <c r="O49" s="334"/>
      <c r="Q49" s="324"/>
      <c r="R49" s="330"/>
    </row>
    <row r="50" spans="1:25" ht="15" hidden="1" customHeight="1" thickBot="1">
      <c r="A50" s="1357"/>
      <c r="B50" s="1358"/>
      <c r="C50" s="1358"/>
      <c r="D50" s="1358"/>
      <c r="E50" s="1358"/>
      <c r="F50" s="769"/>
      <c r="G50" s="769"/>
      <c r="H50" s="1342"/>
      <c r="I50" s="1343"/>
      <c r="J50" s="1"/>
      <c r="K50" s="29"/>
      <c r="L50" s="1"/>
      <c r="O50" s="334"/>
      <c r="Q50" s="324"/>
      <c r="R50" s="330"/>
    </row>
    <row r="51" spans="1:25" ht="15" hidden="1" customHeight="1" thickBot="1">
      <c r="A51" s="1357"/>
      <c r="B51" s="1358"/>
      <c r="C51" s="1358"/>
      <c r="D51" s="1358"/>
      <c r="E51" s="1358"/>
      <c r="F51" s="569"/>
      <c r="G51" s="569"/>
      <c r="H51" s="1344"/>
      <c r="I51" s="1345"/>
      <c r="J51" s="1"/>
      <c r="K51" s="29"/>
      <c r="L51" s="1"/>
      <c r="O51" s="334"/>
      <c r="Q51" s="324"/>
      <c r="R51" s="330"/>
    </row>
    <row r="52" spans="1:25" ht="15" hidden="1" customHeight="1" thickBot="1">
      <c r="A52" s="1357"/>
      <c r="B52" s="1358"/>
      <c r="C52" s="1358"/>
      <c r="D52" s="1358"/>
      <c r="E52" s="1358"/>
      <c r="F52" s="569"/>
      <c r="G52" s="569"/>
      <c r="H52" s="1344"/>
      <c r="I52" s="1345"/>
      <c r="J52" s="1"/>
      <c r="K52" s="29"/>
      <c r="L52" s="1"/>
      <c r="O52" s="334"/>
      <c r="Q52" s="324"/>
      <c r="R52" s="330"/>
    </row>
    <row r="53" spans="1:25" ht="15" hidden="1" customHeight="1" thickBot="1">
      <c r="A53" s="1357"/>
      <c r="B53" s="1358"/>
      <c r="C53" s="1358"/>
      <c r="D53" s="1358"/>
      <c r="E53" s="1358"/>
      <c r="F53" s="569"/>
      <c r="G53" s="569"/>
      <c r="H53" s="1344"/>
      <c r="I53" s="1345"/>
      <c r="J53" s="1"/>
      <c r="K53" s="29"/>
      <c r="L53" s="1"/>
      <c r="O53" s="334"/>
      <c r="Q53" s="324"/>
      <c r="R53" s="330"/>
    </row>
    <row r="54" spans="1:25" ht="15" hidden="1" customHeight="1" thickBot="1">
      <c r="A54" s="1357"/>
      <c r="B54" s="1358"/>
      <c r="C54" s="1358"/>
      <c r="D54" s="1358"/>
      <c r="E54" s="1358"/>
      <c r="F54" s="569"/>
      <c r="G54" s="569"/>
      <c r="H54" s="1344"/>
      <c r="I54" s="1345"/>
      <c r="J54" s="1"/>
      <c r="K54" s="29"/>
      <c r="L54" s="1"/>
      <c r="O54" s="334"/>
      <c r="Q54" s="324"/>
      <c r="R54" s="330"/>
    </row>
    <row r="55" spans="1:25" ht="15" hidden="1" customHeight="1" thickBot="1">
      <c r="A55" s="1357"/>
      <c r="B55" s="1358"/>
      <c r="C55" s="1358"/>
      <c r="D55" s="1358"/>
      <c r="E55" s="1358"/>
      <c r="F55" s="570"/>
      <c r="G55" s="570"/>
      <c r="H55" s="1346"/>
      <c r="I55" s="1347"/>
      <c r="J55" s="1"/>
      <c r="K55" s="29"/>
      <c r="L55" s="1"/>
      <c r="O55" s="334"/>
      <c r="Q55" s="324"/>
      <c r="R55" s="330"/>
    </row>
    <row r="56" spans="1:25" ht="13.8">
      <c r="A56" s="218"/>
      <c r="J56" s="1"/>
      <c r="K56" s="29"/>
      <c r="L56" s="1"/>
      <c r="O56" s="334"/>
      <c r="Q56" s="324"/>
      <c r="R56" s="330"/>
    </row>
    <row r="57" spans="1:25" ht="13.8">
      <c r="A57" s="65" t="s">
        <v>3435</v>
      </c>
      <c r="B57" s="66"/>
      <c r="C57" s="66"/>
      <c r="D57" s="66"/>
      <c r="E57" s="66"/>
      <c r="F57" s="66"/>
      <c r="G57" s="165"/>
      <c r="H57" s="66"/>
      <c r="I57" s="66"/>
      <c r="J57" s="1"/>
      <c r="K57" s="122">
        <f>ROW(A58)</f>
        <v>58</v>
      </c>
      <c r="L57" s="122">
        <f>ROW(A463)</f>
        <v>463</v>
      </c>
      <c r="M57" s="122"/>
      <c r="N57" s="122"/>
      <c r="O57" s="334"/>
      <c r="Q57" s="330"/>
    </row>
    <row r="58" spans="1:25" s="180" customFormat="1" ht="72" hidden="1">
      <c r="A58" s="222" t="s">
        <v>823</v>
      </c>
      <c r="B58" s="223" t="s">
        <v>818</v>
      </c>
      <c r="C58" s="225"/>
      <c r="D58" s="1116" t="s">
        <v>1153</v>
      </c>
      <c r="E58" s="225"/>
      <c r="F58" s="225" t="s">
        <v>1166</v>
      </c>
      <c r="G58" s="222" t="s">
        <v>3345</v>
      </c>
      <c r="H58" s="222" t="s">
        <v>3346</v>
      </c>
      <c r="I58" s="222" t="s">
        <v>1184</v>
      </c>
      <c r="L58" s="217"/>
      <c r="O58" s="334"/>
      <c r="P58" s="323"/>
      <c r="Q58" s="330"/>
      <c r="R58" s="326"/>
      <c r="S58" s="336"/>
      <c r="T58" s="337"/>
      <c r="U58" s="336"/>
      <c r="V58" s="328"/>
      <c r="W58" s="336"/>
      <c r="X58" s="336"/>
      <c r="Y58" s="336"/>
    </row>
    <row r="59" spans="1:25" hidden="1">
      <c r="A59" s="220"/>
      <c r="B59" s="224"/>
      <c r="C59" s="226"/>
      <c r="D59" s="224"/>
      <c r="E59" s="227"/>
      <c r="F59" s="226" t="s">
        <v>1167</v>
      </c>
      <c r="G59" s="220" t="s">
        <v>1169</v>
      </c>
      <c r="H59" s="221" t="s">
        <v>1174</v>
      </c>
      <c r="I59" s="219"/>
      <c r="O59" s="338" t="s">
        <v>946</v>
      </c>
      <c r="P59" s="338" t="s">
        <v>1668</v>
      </c>
      <c r="Q59" s="338" t="s">
        <v>1670</v>
      </c>
      <c r="R59" s="338" t="s">
        <v>1669</v>
      </c>
      <c r="S59" s="1117" t="s">
        <v>3342</v>
      </c>
      <c r="U59" s="338"/>
    </row>
    <row r="60" spans="1:25" hidden="1">
      <c r="A60" s="1350" t="s">
        <v>2418</v>
      </c>
      <c r="B60" s="213" t="s">
        <v>1194</v>
      </c>
      <c r="D60" s="213" t="s">
        <v>1396</v>
      </c>
      <c r="F60" s="213" t="s">
        <v>1186</v>
      </c>
      <c r="G60" s="213">
        <v>1</v>
      </c>
      <c r="H60" s="213" t="s">
        <v>1187</v>
      </c>
      <c r="J60" s="1123"/>
      <c r="O60" s="324" t="str">
        <f t="shared" ref="O60:O123" si="1">IF(A60&gt;0,A60,"")</f>
        <v>1 Putze, Mörtel, Estriche</v>
      </c>
      <c r="P60" s="324" t="str">
        <f t="shared" ref="P60:P91" si="2">IF(ISERROR(VALUE((LEFT(B60,1))))=FALSE,B60,"")</f>
        <v>1.1 Putze</v>
      </c>
      <c r="Q60" s="324" t="str">
        <f t="shared" ref="Q60:Q123" si="3">IF(S60&gt;0,S60,"")&amp;IF(T60&lt;&gt;""," "&amp;T60,"")&amp;IF(U60&lt;&gt;""," "&amp;U60,"")&amp;IF(V60&lt;&gt;""," "&amp;V60,"")</f>
        <v>1.1.1  Putzmörtel aus Kalk, Kalkzement und hydraulischem Kalk [1]</v>
      </c>
      <c r="R60" s="338">
        <f t="shared" ref="R60:R123" si="4">G60</f>
        <v>1</v>
      </c>
      <c r="S60" s="339" t="str">
        <f t="shared" ref="S60:S70" si="5">D60</f>
        <v>1.1.1  Putzmörtel aus Kalk, Kalkzement und hydraulischem Kalk</v>
      </c>
      <c r="T60" s="339"/>
      <c r="U60" s="339" t="str">
        <f t="shared" ref="U60:U123" si="6">IF(G60&gt;0,"["&amp;G60&amp;"]","")</f>
        <v>[1]</v>
      </c>
      <c r="W60" s="324">
        <f t="shared" ref="W60:W96" si="7">MATCH(X60,$P$60:$P$449,0)+ROW($V$59)</f>
        <v>60</v>
      </c>
      <c r="X60" s="331" t="str">
        <f>P60</f>
        <v>1.1 Putze</v>
      </c>
      <c r="Y60" s="324" t="str">
        <f>"q"&amp;W60&amp;":"&amp;"q"&amp;W61-1</f>
        <v>q60:q71</v>
      </c>
    </row>
    <row r="61" spans="1:25" hidden="1">
      <c r="A61" s="1351"/>
      <c r="D61" s="213" t="s">
        <v>3287</v>
      </c>
      <c r="F61" s="755">
        <v>900</v>
      </c>
      <c r="G61" s="213">
        <v>0.3</v>
      </c>
      <c r="H61" s="756" t="s">
        <v>3444</v>
      </c>
      <c r="J61" s="216"/>
      <c r="K61" s="1073" t="s">
        <v>3437</v>
      </c>
      <c r="O61" s="324" t="str">
        <f t="shared" si="1"/>
        <v/>
      </c>
      <c r="P61" s="324" t="str">
        <f t="shared" si="2"/>
        <v/>
      </c>
      <c r="Q61" s="324" t="str">
        <f t="shared" si="3"/>
        <v>1.1.2  Gipsputzmörtel - rho 900 [0,3]</v>
      </c>
      <c r="R61" s="338">
        <f t="shared" si="4"/>
        <v>0.3</v>
      </c>
      <c r="S61" s="339" t="str">
        <f t="shared" si="5"/>
        <v>1.1.2  Gipsputzmörtel</v>
      </c>
      <c r="T61" s="339" t="str">
        <f t="shared" ref="T61:T67" si="8" xml:space="preserve"> "- rho "&amp;F61</f>
        <v>- rho 900</v>
      </c>
      <c r="U61" s="339" t="str">
        <f t="shared" si="6"/>
        <v>[0,3]</v>
      </c>
      <c r="W61" s="324">
        <f t="shared" si="7"/>
        <v>72</v>
      </c>
      <c r="X61" s="332" t="str">
        <f>P72</f>
        <v xml:space="preserve">1.2 Mauermörtel </v>
      </c>
      <c r="Y61" s="324" t="str">
        <f>"q"&amp;W61&amp;":"&amp;"q"&amp;W62-1</f>
        <v>q72:q81</v>
      </c>
    </row>
    <row r="62" spans="1:25" hidden="1">
      <c r="A62" s="1351"/>
      <c r="D62" s="228" t="str">
        <f t="shared" ref="D62:D67" si="9">D61</f>
        <v>1.1.2  Gipsputzmörtel</v>
      </c>
      <c r="F62" s="213" t="s">
        <v>3438</v>
      </c>
      <c r="G62" s="213">
        <v>0.34</v>
      </c>
      <c r="H62" s="228" t="str">
        <f t="shared" ref="H62:H67" si="10">H61</f>
        <v>4/10</v>
      </c>
      <c r="J62" s="216"/>
      <c r="K62" s="1073" t="s">
        <v>3445</v>
      </c>
      <c r="P62" s="324"/>
      <c r="Q62" s="324" t="str">
        <f t="shared" ref="Q62:Q67" si="11">IF(S62&gt;0,S62,"")&amp;IF(T62&lt;&gt;""," "&amp;T62,"")&amp;IF(U62&lt;&gt;""," "&amp;U62,"")&amp;IF(V62&lt;&gt;""," "&amp;V62,"")</f>
        <v>1.1.2  Gipsputzmörtel - rho 1 000 [0,34]</v>
      </c>
      <c r="R62" s="338">
        <f t="shared" ref="R62:R67" si="12">G62</f>
        <v>0.34</v>
      </c>
      <c r="S62" s="339" t="str">
        <f t="shared" ref="S62:S67" si="13">D62</f>
        <v>1.1.2  Gipsputzmörtel</v>
      </c>
      <c r="T62" s="339" t="str">
        <f t="shared" si="8"/>
        <v>- rho 1 000</v>
      </c>
      <c r="U62" s="339" t="str">
        <f t="shared" si="6"/>
        <v>[0,34]</v>
      </c>
      <c r="W62" s="324">
        <f t="shared" si="7"/>
        <v>82</v>
      </c>
      <c r="X62" s="333" t="str">
        <f>P82</f>
        <v>1.3 Estriche</v>
      </c>
      <c r="Y62" s="324" t="str">
        <f t="shared" ref="Y62:Y64" si="14">"q"&amp;W62&amp;":"&amp;"q"&amp;W63-1</f>
        <v>q82:q86</v>
      </c>
    </row>
    <row r="63" spans="1:25" hidden="1">
      <c r="A63" s="1351"/>
      <c r="D63" s="228" t="str">
        <f t="shared" si="9"/>
        <v>1.1.2  Gipsputzmörtel</v>
      </c>
      <c r="F63" s="213" t="s">
        <v>3439</v>
      </c>
      <c r="G63" s="213">
        <v>0.39</v>
      </c>
      <c r="H63" s="228" t="str">
        <f t="shared" si="10"/>
        <v>4/10</v>
      </c>
      <c r="J63" s="216"/>
      <c r="K63" s="1073"/>
      <c r="P63" s="324"/>
      <c r="Q63" s="324" t="str">
        <f t="shared" si="11"/>
        <v>1.1.2  Gipsputzmörtel - rho 1 100 [0,39]</v>
      </c>
      <c r="R63" s="338">
        <f t="shared" si="12"/>
        <v>0.39</v>
      </c>
      <c r="S63" s="339" t="str">
        <f t="shared" si="13"/>
        <v>1.1.2  Gipsputzmörtel</v>
      </c>
      <c r="T63" s="339" t="str">
        <f t="shared" si="8"/>
        <v>- rho 1 100</v>
      </c>
      <c r="U63" s="339" t="str">
        <f t="shared" si="6"/>
        <v>[0,39]</v>
      </c>
      <c r="W63" s="324">
        <f t="shared" si="7"/>
        <v>87</v>
      </c>
      <c r="X63" s="332" t="str">
        <f>P87</f>
        <v>2.1 Beton nach DIN EN 206</v>
      </c>
      <c r="Y63" s="324" t="str">
        <f t="shared" si="14"/>
        <v>q87:q87</v>
      </c>
    </row>
    <row r="64" spans="1:25" hidden="1">
      <c r="A64" s="1351"/>
      <c r="D64" s="228" t="str">
        <f t="shared" si="9"/>
        <v>1.1.2  Gipsputzmörtel</v>
      </c>
      <c r="F64" s="213" t="s">
        <v>3440</v>
      </c>
      <c r="G64" s="213">
        <v>0.43</v>
      </c>
      <c r="H64" s="228" t="str">
        <f t="shared" si="10"/>
        <v>4/10</v>
      </c>
      <c r="J64" s="216"/>
      <c r="K64" s="1073"/>
      <c r="P64" s="324"/>
      <c r="Q64" s="324" t="str">
        <f t="shared" si="11"/>
        <v>1.1.2  Gipsputzmörtel - rho 1 200 [0,43]</v>
      </c>
      <c r="R64" s="338">
        <f t="shared" si="12"/>
        <v>0.43</v>
      </c>
      <c r="S64" s="339" t="str">
        <f t="shared" si="13"/>
        <v>1.1.2  Gipsputzmörtel</v>
      </c>
      <c r="T64" s="339" t="str">
        <f t="shared" si="8"/>
        <v>- rho 1 200</v>
      </c>
      <c r="U64" s="339" t="str">
        <f t="shared" si="6"/>
        <v>[0,43]</v>
      </c>
      <c r="W64" s="324">
        <f t="shared" si="7"/>
        <v>88</v>
      </c>
      <c r="X64" s="332" t="str">
        <f>P88</f>
        <v>2.2 Leicht-/Stahlbeton</v>
      </c>
      <c r="Y64" s="324" t="str">
        <f t="shared" si="14"/>
        <v>q88:q98</v>
      </c>
    </row>
    <row r="65" spans="1:25" hidden="1">
      <c r="A65" s="1351"/>
      <c r="D65" s="228" t="str">
        <f t="shared" si="9"/>
        <v>1.1.2  Gipsputzmörtel</v>
      </c>
      <c r="F65" s="213" t="s">
        <v>3441</v>
      </c>
      <c r="G65" s="213">
        <v>0.47</v>
      </c>
      <c r="H65" s="228" t="str">
        <f t="shared" si="10"/>
        <v>4/10</v>
      </c>
      <c r="J65" s="216"/>
      <c r="K65" s="1073"/>
      <c r="P65" s="324"/>
      <c r="Q65" s="324" t="str">
        <f t="shared" si="11"/>
        <v>1.1.2  Gipsputzmörtel - rho 1 300 [0,47]</v>
      </c>
      <c r="R65" s="338">
        <f t="shared" si="12"/>
        <v>0.47</v>
      </c>
      <c r="S65" s="339" t="str">
        <f t="shared" si="13"/>
        <v>1.1.2  Gipsputzmörtel</v>
      </c>
      <c r="T65" s="339" t="str">
        <f t="shared" si="8"/>
        <v>- rho 1 300</v>
      </c>
      <c r="U65" s="339" t="str">
        <f t="shared" si="6"/>
        <v>[0,47]</v>
      </c>
      <c r="W65" s="324">
        <f t="shared" si="7"/>
        <v>99</v>
      </c>
      <c r="X65" s="332" t="str">
        <f>P99</f>
        <v>2.3 Porenbeton</v>
      </c>
      <c r="Y65" s="324" t="str">
        <f>"q"&amp;W65&amp;":"&amp;"q"&amp;W66-1</f>
        <v>q99:q110</v>
      </c>
    </row>
    <row r="66" spans="1:25" hidden="1">
      <c r="A66" s="1351"/>
      <c r="D66" s="228" t="str">
        <f t="shared" si="9"/>
        <v>1.1.2  Gipsputzmörtel</v>
      </c>
      <c r="F66" s="213" t="s">
        <v>3442</v>
      </c>
      <c r="G66" s="213">
        <v>0.51</v>
      </c>
      <c r="H66" s="228" t="str">
        <f t="shared" si="10"/>
        <v>4/10</v>
      </c>
      <c r="J66" s="216"/>
      <c r="K66" s="1073"/>
      <c r="P66" s="324"/>
      <c r="Q66" s="324" t="str">
        <f t="shared" si="11"/>
        <v>1.1.2  Gipsputzmörtel - rho 1 400 [0,51]</v>
      </c>
      <c r="R66" s="338">
        <f t="shared" si="12"/>
        <v>0.51</v>
      </c>
      <c r="S66" s="339" t="str">
        <f t="shared" si="13"/>
        <v>1.1.2  Gipsputzmörtel</v>
      </c>
      <c r="T66" s="339" t="str">
        <f t="shared" si="8"/>
        <v>- rho 1 400</v>
      </c>
      <c r="U66" s="339" t="str">
        <f t="shared" si="6"/>
        <v>[0,51]</v>
      </c>
      <c r="W66" s="324">
        <f t="shared" si="7"/>
        <v>111</v>
      </c>
      <c r="X66" s="333" t="str">
        <f>P111</f>
        <v>2.4 Leichtbeton</v>
      </c>
      <c r="Y66" s="324" t="str">
        <f>"q"&amp;W66&amp;":"&amp;"q"&amp;W67-1</f>
        <v>q111:q153</v>
      </c>
    </row>
    <row r="67" spans="1:25" hidden="1">
      <c r="A67" s="1351"/>
      <c r="D67" s="228" t="str">
        <f t="shared" si="9"/>
        <v>1.1.2  Gipsputzmörtel</v>
      </c>
      <c r="F67" s="213" t="s">
        <v>3443</v>
      </c>
      <c r="G67" s="213">
        <v>0.56000000000000005</v>
      </c>
      <c r="H67" s="228" t="str">
        <f t="shared" si="10"/>
        <v>4/10</v>
      </c>
      <c r="J67" s="216"/>
      <c r="K67" s="1073"/>
      <c r="P67" s="324"/>
      <c r="Q67" s="324" t="str">
        <f t="shared" si="11"/>
        <v>1.1.2  Gipsputzmörtel - rho 1 500 [0,56]</v>
      </c>
      <c r="R67" s="338">
        <f t="shared" si="12"/>
        <v>0.56000000000000005</v>
      </c>
      <c r="S67" s="339" t="str">
        <f t="shared" si="13"/>
        <v>1.1.2  Gipsputzmörtel</v>
      </c>
      <c r="T67" s="339" t="str">
        <f t="shared" si="8"/>
        <v>- rho 1 500</v>
      </c>
      <c r="U67" s="339" t="str">
        <f t="shared" si="6"/>
        <v>[0,56]</v>
      </c>
      <c r="W67" s="324">
        <f t="shared" si="7"/>
        <v>154</v>
      </c>
      <c r="X67" s="332" t="str">
        <f>P154</f>
        <v>3.1 Porenbeton</v>
      </c>
      <c r="Y67" s="324" t="str">
        <f>"q"&amp;W67&amp;":"&amp;"q"&amp;W68-1</f>
        <v>q154:q168</v>
      </c>
    </row>
    <row r="68" spans="1:25" hidden="1">
      <c r="A68" s="1351"/>
      <c r="D68" s="213" t="s">
        <v>1397</v>
      </c>
      <c r="F68" s="213" t="s">
        <v>1188</v>
      </c>
      <c r="G68" s="213">
        <v>0.56000000000000005</v>
      </c>
      <c r="H68" s="213" t="s">
        <v>1189</v>
      </c>
      <c r="J68" s="216"/>
      <c r="O68" s="324" t="str">
        <f t="shared" si="1"/>
        <v/>
      </c>
      <c r="P68" s="324" t="str">
        <f t="shared" si="2"/>
        <v/>
      </c>
      <c r="Q68" s="324" t="str">
        <f t="shared" si="3"/>
        <v>1.1.3  Leichtputz - rho &lt; 1 300  [0,56]</v>
      </c>
      <c r="R68" s="338">
        <f t="shared" si="4"/>
        <v>0.56000000000000005</v>
      </c>
      <c r="S68" s="339" t="str">
        <f t="shared" si="5"/>
        <v>1.1.3  Leichtputz</v>
      </c>
      <c r="T68" s="339" t="str">
        <f xml:space="preserve"> "- rho "&amp;F68</f>
        <v xml:space="preserve">- rho &lt; 1 300 </v>
      </c>
      <c r="U68" s="339" t="str">
        <f t="shared" si="6"/>
        <v>[0,56]</v>
      </c>
      <c r="W68" s="324">
        <f t="shared" si="7"/>
        <v>169</v>
      </c>
      <c r="X68" s="332" t="str">
        <f>P169</f>
        <v>3.2 Leichtbeton</v>
      </c>
      <c r="Y68" s="324" t="str">
        <f>"q"&amp;W68&amp;":"&amp;"q"&amp;W69-1</f>
        <v>q169:q173</v>
      </c>
    </row>
    <row r="69" spans="1:25" hidden="1">
      <c r="D69" s="213" t="s">
        <v>3334</v>
      </c>
      <c r="F69" s="213" t="s">
        <v>1200</v>
      </c>
      <c r="G69" s="213">
        <v>0.38</v>
      </c>
      <c r="H69" s="213" t="s">
        <v>1189</v>
      </c>
      <c r="J69" s="216"/>
      <c r="K69" s="1073"/>
      <c r="O69" s="324" t="str">
        <f t="shared" si="1"/>
        <v/>
      </c>
      <c r="P69" s="324" t="str">
        <f t="shared" si="2"/>
        <v/>
      </c>
      <c r="Q69" s="324" t="str">
        <f t="shared" si="3"/>
        <v>1.1.4  Leichtputz - rho 1 000  [0,38]</v>
      </c>
      <c r="R69" s="338">
        <f t="shared" si="4"/>
        <v>0.38</v>
      </c>
      <c r="S69" s="339" t="str">
        <f t="shared" si="5"/>
        <v>1.1.4  Leichtputz</v>
      </c>
      <c r="T69" s="339" t="str">
        <f xml:space="preserve"> "- rho "&amp;F69</f>
        <v xml:space="preserve">- rho 1 000 </v>
      </c>
      <c r="U69" s="339" t="str">
        <f t="shared" si="6"/>
        <v>[0,38]</v>
      </c>
      <c r="W69" s="324">
        <f t="shared" si="7"/>
        <v>174</v>
      </c>
      <c r="X69" s="332" t="str">
        <f>P174</f>
        <v>3.3 Gips</v>
      </c>
      <c r="Y69" s="324" t="str">
        <f>"q"&amp;W69&amp;":"&amp;"q"&amp;W70-1</f>
        <v>q174:q183</v>
      </c>
    </row>
    <row r="70" spans="1:25" hidden="1">
      <c r="D70" s="213" t="s">
        <v>3335</v>
      </c>
      <c r="F70" s="147">
        <v>700</v>
      </c>
      <c r="G70" s="213">
        <v>0.25</v>
      </c>
      <c r="H70" s="213" t="s">
        <v>1189</v>
      </c>
      <c r="J70" s="216"/>
      <c r="K70" s="1073"/>
      <c r="O70" s="324" t="str">
        <f t="shared" si="1"/>
        <v/>
      </c>
      <c r="P70" s="324" t="str">
        <f t="shared" si="2"/>
        <v/>
      </c>
      <c r="Q70" s="324" t="str">
        <f t="shared" si="3"/>
        <v>1.1.5  Leichtputz - rho 700 [0,25]</v>
      </c>
      <c r="R70" s="338">
        <f t="shared" si="4"/>
        <v>0.25</v>
      </c>
      <c r="S70" s="339" t="str">
        <f t="shared" si="5"/>
        <v>1.1.5  Leichtputz</v>
      </c>
      <c r="T70" s="339" t="str">
        <f xml:space="preserve"> "- rho "&amp;F70</f>
        <v>- rho 700</v>
      </c>
      <c r="U70" s="339" t="str">
        <f t="shared" si="6"/>
        <v>[0,25]</v>
      </c>
      <c r="W70" s="324">
        <f t="shared" si="7"/>
        <v>184</v>
      </c>
      <c r="X70" s="333" t="str">
        <f>P184</f>
        <v>3.4 Gipsplatten</v>
      </c>
      <c r="Y70" s="1120" t="str">
        <f>"q"&amp;W70&amp;":"&amp;"q"&amp;W72-1</f>
        <v>q184:q185</v>
      </c>
    </row>
    <row r="71" spans="1:25" hidden="1">
      <c r="D71" s="213" t="s">
        <v>3291</v>
      </c>
      <c r="F71" s="213" t="s">
        <v>1192</v>
      </c>
      <c r="G71" s="213">
        <v>0.7</v>
      </c>
      <c r="H71" s="213" t="s">
        <v>1193</v>
      </c>
      <c r="J71" s="216"/>
      <c r="K71" s="1073" t="s">
        <v>3446</v>
      </c>
      <c r="O71" s="324" t="str">
        <f t="shared" si="1"/>
        <v/>
      </c>
      <c r="P71" s="324" t="str">
        <f t="shared" si="2"/>
        <v/>
      </c>
      <c r="Q71" s="324" t="str">
        <f t="shared" si="3"/>
        <v>1.1.7  Kunstharzputz [0,7]</v>
      </c>
      <c r="R71" s="338">
        <f t="shared" si="4"/>
        <v>0.7</v>
      </c>
      <c r="S71" s="339" t="str">
        <f>D71</f>
        <v>1.1.7  Kunstharzputz</v>
      </c>
      <c r="T71" s="339"/>
      <c r="U71" s="339" t="str">
        <f t="shared" si="6"/>
        <v>[0,7]</v>
      </c>
      <c r="W71" s="324">
        <f t="shared" si="7"/>
        <v>237</v>
      </c>
      <c r="X71" s="332" t="str">
        <f>P237</f>
        <v>4.2  Kalksandsteine</v>
      </c>
      <c r="Y71" s="1120" t="str">
        <f>"q"&amp;W71&amp;":"&amp;"q"&amp;W76-1</f>
        <v>q237:q245</v>
      </c>
    </row>
    <row r="72" spans="1:25" hidden="1">
      <c r="B72" s="213" t="s">
        <v>1203</v>
      </c>
      <c r="D72" s="213" t="s">
        <v>1398</v>
      </c>
      <c r="F72" s="213" t="s">
        <v>1195</v>
      </c>
      <c r="G72" s="213">
        <v>1.6</v>
      </c>
      <c r="H72" s="213" t="s">
        <v>1187</v>
      </c>
      <c r="J72" s="216"/>
      <c r="O72" s="324" t="str">
        <f t="shared" si="1"/>
        <v/>
      </c>
      <c r="P72" s="324" t="str">
        <f t="shared" si="2"/>
        <v xml:space="preserve">1.2 Mauermörtel </v>
      </c>
      <c r="Q72" s="324" t="str">
        <f t="shared" si="3"/>
        <v>1.2.1  Zementmörtel [1,6]</v>
      </c>
      <c r="R72" s="338">
        <f t="shared" si="4"/>
        <v>1.6</v>
      </c>
      <c r="S72" s="339" t="str">
        <f>D72</f>
        <v>1.2.1  Zementmörtel</v>
      </c>
      <c r="T72" s="339"/>
      <c r="U72" s="339" t="str">
        <f t="shared" si="6"/>
        <v>[1,6]</v>
      </c>
      <c r="W72" s="324">
        <f t="shared" si="7"/>
        <v>186</v>
      </c>
      <c r="X72" s="332" t="str">
        <f>P186</f>
        <v>4.1.1 Klinker</v>
      </c>
      <c r="Y72" s="324" t="str">
        <f t="shared" ref="Y72:Y95" si="15">"q"&amp;W72&amp;":"&amp;"q"&amp;W73-1</f>
        <v>q186:q189</v>
      </c>
    </row>
    <row r="73" spans="1:25" hidden="1">
      <c r="D73" s="213" t="s">
        <v>1399</v>
      </c>
      <c r="F73" s="213" t="s">
        <v>1186</v>
      </c>
      <c r="G73" s="213">
        <v>1.2</v>
      </c>
      <c r="H73" s="213" t="s">
        <v>1187</v>
      </c>
      <c r="J73" s="216"/>
      <c r="O73" s="324" t="str">
        <f t="shared" si="1"/>
        <v/>
      </c>
      <c r="P73" s="324" t="str">
        <f t="shared" si="2"/>
        <v/>
      </c>
      <c r="Q73" s="324" t="str">
        <f t="shared" si="3"/>
        <v>1.2.2  Normalmörtel NM [1,2]</v>
      </c>
      <c r="R73" s="338">
        <f t="shared" si="4"/>
        <v>1.2</v>
      </c>
      <c r="S73" s="339" t="str">
        <f>D73</f>
        <v>1.2.2  Normalmörtel NM</v>
      </c>
      <c r="T73" s="339"/>
      <c r="U73" s="339" t="str">
        <f t="shared" si="6"/>
        <v>[1,2]</v>
      </c>
      <c r="W73" s="324">
        <f t="shared" si="7"/>
        <v>190</v>
      </c>
      <c r="X73" s="332" t="str">
        <f>P190</f>
        <v>4.1.2 Vollziegel</v>
      </c>
      <c r="Y73" s="324" t="str">
        <f t="shared" si="15"/>
        <v>q190:q196</v>
      </c>
    </row>
    <row r="74" spans="1:25" hidden="1">
      <c r="D74" s="213" t="s">
        <v>1400</v>
      </c>
      <c r="F74" s="213" t="s">
        <v>1196</v>
      </c>
      <c r="G74" s="213">
        <v>1</v>
      </c>
      <c r="H74" s="213" t="s">
        <v>1187</v>
      </c>
      <c r="J74" s="216"/>
      <c r="O74" s="324" t="str">
        <f t="shared" si="1"/>
        <v/>
      </c>
      <c r="P74" s="324" t="str">
        <f t="shared" si="2"/>
        <v/>
      </c>
      <c r="Q74" s="324" t="str">
        <f t="shared" si="3"/>
        <v>1.2.3  Dünnbettmauermörtel [1]</v>
      </c>
      <c r="R74" s="338">
        <f t="shared" si="4"/>
        <v>1</v>
      </c>
      <c r="S74" s="339" t="str">
        <f>D74</f>
        <v>1.2.3  Dünnbettmauermörtel</v>
      </c>
      <c r="T74" s="339"/>
      <c r="U74" s="339" t="str">
        <f t="shared" si="6"/>
        <v>[1]</v>
      </c>
      <c r="W74" s="324">
        <f t="shared" si="7"/>
        <v>197</v>
      </c>
      <c r="X74" s="332" t="str">
        <f>P197</f>
        <v>4.1.3  Hochlochziegel</v>
      </c>
      <c r="Y74" s="324" t="str">
        <f t="shared" si="15"/>
        <v>q197:q216</v>
      </c>
    </row>
    <row r="75" spans="1:25" hidden="1">
      <c r="D75" s="213" t="s">
        <v>3289</v>
      </c>
      <c r="F75" s="755" t="s">
        <v>1190</v>
      </c>
      <c r="G75" s="213">
        <v>0.36</v>
      </c>
      <c r="H75" s="213" t="s">
        <v>1187</v>
      </c>
      <c r="J75" s="216"/>
      <c r="K75" s="1073"/>
      <c r="O75" s="324" t="str">
        <f t="shared" si="1"/>
        <v/>
      </c>
      <c r="P75" s="324" t="str">
        <f t="shared" si="2"/>
        <v/>
      </c>
      <c r="Q75" s="324" t="str">
        <f t="shared" si="3"/>
        <v>1.2.4  Leichtmauermörtel - rho ≤ 1 000  [0,36] (nach DIN EN 1996-1-1, DIN EN 1996-2)</v>
      </c>
      <c r="R75" s="338">
        <f t="shared" si="4"/>
        <v>0.36</v>
      </c>
      <c r="S75" s="1118" t="s">
        <v>1680</v>
      </c>
      <c r="T75" s="339" t="str">
        <f t="shared" ref="T75:T81" si="16" xml:space="preserve"> "- rho "&amp;F75</f>
        <v xml:space="preserve">- rho ≤ 1 000 </v>
      </c>
      <c r="U75" s="339" t="str">
        <f t="shared" si="6"/>
        <v>[0,36]</v>
      </c>
      <c r="V75" s="1118" t="s">
        <v>3344</v>
      </c>
      <c r="W75" s="324">
        <f t="shared" si="7"/>
        <v>217</v>
      </c>
      <c r="X75" s="332" t="str">
        <f>P217</f>
        <v>4.1.4  Hochlochziegel HLzW</v>
      </c>
      <c r="Y75" s="1120" t="str">
        <f>"q"&amp;W75&amp;":"&amp;"q"&amp;W71-1</f>
        <v>q217:q236</v>
      </c>
    </row>
    <row r="76" spans="1:25" hidden="1">
      <c r="D76" s="213" t="s">
        <v>3290</v>
      </c>
      <c r="F76" s="755">
        <v>700</v>
      </c>
      <c r="G76" s="213">
        <v>0.21</v>
      </c>
      <c r="H76" s="213" t="s">
        <v>1187</v>
      </c>
      <c r="J76" s="216"/>
      <c r="K76" s="1073"/>
      <c r="O76" s="324" t="str">
        <f t="shared" si="1"/>
        <v/>
      </c>
      <c r="P76" s="324" t="str">
        <f t="shared" si="2"/>
        <v/>
      </c>
      <c r="Q76" s="324" t="str">
        <f t="shared" si="3"/>
        <v>1.2.4  Leichtmauermörtel - rho 700 [0,21] (nach DIN EN 1996-1-1, DIN EN 1996-2)</v>
      </c>
      <c r="R76" s="338">
        <f t="shared" si="4"/>
        <v>0.21</v>
      </c>
      <c r="S76" s="1118" t="s">
        <v>1680</v>
      </c>
      <c r="T76" s="339" t="str">
        <f t="shared" si="16"/>
        <v>- rho 700</v>
      </c>
      <c r="U76" s="339" t="str">
        <f t="shared" si="6"/>
        <v>[0,21]</v>
      </c>
      <c r="V76" s="1118" t="s">
        <v>3344</v>
      </c>
      <c r="W76" s="324">
        <f t="shared" si="7"/>
        <v>246</v>
      </c>
      <c r="X76" s="332" t="str">
        <f>P246</f>
        <v>4.3  Porenbeton-Plansteine</v>
      </c>
      <c r="Y76" s="324" t="str">
        <f t="shared" si="15"/>
        <v>q246:q255</v>
      </c>
    </row>
    <row r="77" spans="1:25" hidden="1">
      <c r="D77" s="213" t="s">
        <v>1202</v>
      </c>
      <c r="F77" s="213" t="s">
        <v>1197</v>
      </c>
      <c r="G77" s="213">
        <v>0.1</v>
      </c>
      <c r="H77" s="213" t="s">
        <v>1191</v>
      </c>
      <c r="J77" s="216"/>
      <c r="O77" s="324" t="str">
        <f t="shared" si="1"/>
        <v/>
      </c>
      <c r="P77" s="324" t="str">
        <f t="shared" si="2"/>
        <v/>
      </c>
      <c r="Q77" s="324" t="str">
        <f t="shared" si="3"/>
        <v>1.2.6  Leichtmauermörtel - rho 250  [0,1]</v>
      </c>
      <c r="R77" s="338">
        <f t="shared" si="4"/>
        <v>0.1</v>
      </c>
      <c r="S77" s="339" t="str">
        <f t="shared" ref="S77:S87" si="17">D77</f>
        <v>1.2.6  Leichtmauermörtel</v>
      </c>
      <c r="T77" s="339" t="str">
        <f t="shared" si="16"/>
        <v xml:space="preserve">- rho 250 </v>
      </c>
      <c r="U77" s="339" t="str">
        <f t="shared" si="6"/>
        <v>[0,1]</v>
      </c>
      <c r="W77" s="324">
        <f t="shared" si="7"/>
        <v>256</v>
      </c>
      <c r="X77" s="332" t="str">
        <f>P256</f>
        <v>4.4  Betonsteine Hbl G1</v>
      </c>
      <c r="Y77" s="324" t="str">
        <f t="shared" si="15"/>
        <v>q256:q283</v>
      </c>
    </row>
    <row r="78" spans="1:25" hidden="1">
      <c r="D78" s="228" t="str">
        <f>D77</f>
        <v>1.2.6  Leichtmauermörtel</v>
      </c>
      <c r="F78" s="213" t="s">
        <v>1198</v>
      </c>
      <c r="G78" s="213">
        <v>0.14000000000000001</v>
      </c>
      <c r="H78" s="228" t="str">
        <f t="shared" ref="H78:H81" si="18">H77</f>
        <v xml:space="preserve">5/20 </v>
      </c>
      <c r="J78" s="216"/>
      <c r="O78" s="324" t="str">
        <f t="shared" si="1"/>
        <v/>
      </c>
      <c r="P78" s="324" t="str">
        <f t="shared" si="2"/>
        <v/>
      </c>
      <c r="Q78" s="324" t="str">
        <f t="shared" si="3"/>
        <v>1.2.6  Leichtmauermörtel - rho 400  [0,14]</v>
      </c>
      <c r="R78" s="338">
        <f t="shared" si="4"/>
        <v>0.14000000000000001</v>
      </c>
      <c r="S78" s="339" t="str">
        <f t="shared" si="17"/>
        <v>1.2.6  Leichtmauermörtel</v>
      </c>
      <c r="T78" s="339" t="str">
        <f t="shared" si="16"/>
        <v xml:space="preserve">- rho 400 </v>
      </c>
      <c r="U78" s="339" t="str">
        <f t="shared" si="6"/>
        <v>[0,14]</v>
      </c>
      <c r="W78" s="324">
        <f t="shared" si="7"/>
        <v>284</v>
      </c>
      <c r="X78" s="332" t="str">
        <f>P284</f>
        <v>4.4.2  Betonsteine Hbl G2</v>
      </c>
      <c r="Y78" s="324" t="str">
        <f t="shared" si="15"/>
        <v>q284:q311</v>
      </c>
    </row>
    <row r="79" spans="1:25" hidden="1">
      <c r="D79" s="228" t="str">
        <f>D78</f>
        <v>1.2.6  Leichtmauermörtel</v>
      </c>
      <c r="F79" s="213" t="s">
        <v>1199</v>
      </c>
      <c r="G79" s="213">
        <v>0.25</v>
      </c>
      <c r="H79" s="228" t="str">
        <f t="shared" si="18"/>
        <v xml:space="preserve">5/20 </v>
      </c>
      <c r="J79" s="216"/>
      <c r="O79" s="324" t="str">
        <f t="shared" si="1"/>
        <v/>
      </c>
      <c r="P79" s="324" t="str">
        <f t="shared" si="2"/>
        <v/>
      </c>
      <c r="Q79" s="324" t="str">
        <f t="shared" si="3"/>
        <v>1.2.6  Leichtmauermörtel - rho 700  [0,25]</v>
      </c>
      <c r="R79" s="338">
        <f t="shared" si="4"/>
        <v>0.25</v>
      </c>
      <c r="S79" s="339" t="str">
        <f t="shared" si="17"/>
        <v>1.2.6  Leichtmauermörtel</v>
      </c>
      <c r="T79" s="339" t="str">
        <f t="shared" si="16"/>
        <v xml:space="preserve">- rho 700 </v>
      </c>
      <c r="U79" s="339" t="str">
        <f t="shared" si="6"/>
        <v>[0,25]</v>
      </c>
      <c r="W79" s="324">
        <f t="shared" si="7"/>
        <v>312</v>
      </c>
      <c r="X79" s="332" t="str">
        <f>P312</f>
        <v>4.4.3  Betonsteine Vbl</v>
      </c>
      <c r="Y79" s="324" t="str">
        <f t="shared" si="15"/>
        <v>q312:q338</v>
      </c>
    </row>
    <row r="80" spans="1:25" hidden="1">
      <c r="D80" s="228" t="str">
        <f>D79</f>
        <v>1.2.6  Leichtmauermörtel</v>
      </c>
      <c r="F80" s="213" t="s">
        <v>1200</v>
      </c>
      <c r="G80" s="213">
        <v>0.38</v>
      </c>
      <c r="H80" s="228" t="str">
        <f t="shared" si="18"/>
        <v xml:space="preserve">5/20 </v>
      </c>
      <c r="J80" s="216"/>
      <c r="O80" s="324" t="str">
        <f t="shared" si="1"/>
        <v/>
      </c>
      <c r="P80" s="324" t="str">
        <f t="shared" si="2"/>
        <v/>
      </c>
      <c r="Q80" s="324" t="str">
        <f t="shared" si="3"/>
        <v>1.2.6  Leichtmauermörtel - rho 1 000  [0,38]</v>
      </c>
      <c r="R80" s="338">
        <f t="shared" si="4"/>
        <v>0.38</v>
      </c>
      <c r="S80" s="339" t="str">
        <f t="shared" si="17"/>
        <v>1.2.6  Leichtmauermörtel</v>
      </c>
      <c r="T80" s="339" t="str">
        <f t="shared" si="16"/>
        <v xml:space="preserve">- rho 1 000 </v>
      </c>
      <c r="U80" s="339" t="str">
        <f t="shared" si="6"/>
        <v>[0,38]</v>
      </c>
      <c r="W80" s="324">
        <f t="shared" si="7"/>
        <v>339</v>
      </c>
      <c r="X80" s="332" t="str">
        <f>P339</f>
        <v>4.4.4  Betonsteine Vbl aus Leichtbeton</v>
      </c>
      <c r="Y80" s="324" t="str">
        <f t="shared" si="15"/>
        <v>q339:q370</v>
      </c>
    </row>
    <row r="81" spans="1:25" hidden="1">
      <c r="D81" s="228" t="str">
        <f>D80</f>
        <v>1.2.6  Leichtmauermörtel</v>
      </c>
      <c r="E81" s="213"/>
      <c r="F81" s="213" t="s">
        <v>1201</v>
      </c>
      <c r="G81" s="213">
        <v>0.69</v>
      </c>
      <c r="H81" s="228" t="str">
        <f t="shared" si="18"/>
        <v xml:space="preserve">5/20 </v>
      </c>
      <c r="J81" s="216"/>
      <c r="O81" s="324" t="str">
        <f t="shared" si="1"/>
        <v/>
      </c>
      <c r="P81" s="324" t="str">
        <f t="shared" si="2"/>
        <v/>
      </c>
      <c r="Q81" s="324" t="str">
        <f t="shared" si="3"/>
        <v>1.2.6  Leichtmauermörtel - rho 1 500  [0,69]</v>
      </c>
      <c r="R81" s="338">
        <f t="shared" si="4"/>
        <v>0.69</v>
      </c>
      <c r="S81" s="339" t="str">
        <f t="shared" si="17"/>
        <v>1.2.6  Leichtmauermörtel</v>
      </c>
      <c r="T81" s="339" t="str">
        <f t="shared" si="16"/>
        <v xml:space="preserve">- rho 1 500 </v>
      </c>
      <c r="U81" s="339" t="str">
        <f t="shared" si="6"/>
        <v>[0,69]</v>
      </c>
      <c r="W81" s="324">
        <f t="shared" si="7"/>
        <v>371</v>
      </c>
      <c r="X81" s="332" t="str">
        <f>P371</f>
        <v>4.4.5  Betonsteine V</v>
      </c>
      <c r="Y81" s="324" t="str">
        <f t="shared" si="15"/>
        <v>q371:q402</v>
      </c>
    </row>
    <row r="82" spans="1:25" s="215" customFormat="1" hidden="1">
      <c r="B82" s="215" t="s">
        <v>1346</v>
      </c>
      <c r="D82" s="215" t="s">
        <v>826</v>
      </c>
      <c r="F82" s="215" t="s">
        <v>1347</v>
      </c>
      <c r="G82" s="215">
        <v>0.9</v>
      </c>
      <c r="I82" s="215" t="s">
        <v>1348</v>
      </c>
      <c r="J82" s="1124"/>
      <c r="L82" s="1110"/>
      <c r="M82" s="1110"/>
      <c r="N82" s="1110"/>
      <c r="O82" s="324" t="str">
        <f t="shared" si="1"/>
        <v/>
      </c>
      <c r="P82" s="324" t="str">
        <f t="shared" si="2"/>
        <v>1.3 Estriche</v>
      </c>
      <c r="Q82" s="324" t="str">
        <f t="shared" si="3"/>
        <v>1.3.1  Gussasphaltestrich  [0,9]</v>
      </c>
      <c r="R82" s="338">
        <f t="shared" si="4"/>
        <v>0.9</v>
      </c>
      <c r="S82" s="339" t="str">
        <f t="shared" si="17"/>
        <v xml:space="preserve">1.3.1  Gussasphaltestrich </v>
      </c>
      <c r="T82" s="339"/>
      <c r="U82" s="339" t="str">
        <f t="shared" si="6"/>
        <v>[0,9]</v>
      </c>
      <c r="V82" s="328"/>
      <c r="W82" s="324">
        <f t="shared" si="7"/>
        <v>403</v>
      </c>
      <c r="X82" s="333" t="str">
        <f>P403</f>
        <v>4.4.6  Mauersteine aus Beton</v>
      </c>
      <c r="Y82" s="324" t="str">
        <f t="shared" si="15"/>
        <v>q403:q414</v>
      </c>
    </row>
    <row r="83" spans="1:25" s="215" customFormat="1" hidden="1">
      <c r="D83" s="215" t="s">
        <v>827</v>
      </c>
      <c r="F83" s="215" t="s">
        <v>1195</v>
      </c>
      <c r="G83" s="215">
        <v>1.4</v>
      </c>
      <c r="H83" s="215" t="s">
        <v>1187</v>
      </c>
      <c r="J83" s="1124"/>
      <c r="L83" s="1110"/>
      <c r="M83" s="1110"/>
      <c r="N83" s="1110"/>
      <c r="O83" s="324" t="str">
        <f t="shared" si="1"/>
        <v/>
      </c>
      <c r="P83" s="324" t="str">
        <f t="shared" si="2"/>
        <v/>
      </c>
      <c r="Q83" s="324" t="str">
        <f t="shared" si="3"/>
        <v>1.3.2  Zement-Estrich  [1,4]</v>
      </c>
      <c r="R83" s="338">
        <f t="shared" si="4"/>
        <v>1.4</v>
      </c>
      <c r="S83" s="339" t="str">
        <f t="shared" si="17"/>
        <v xml:space="preserve">1.3.2  Zement-Estrich </v>
      </c>
      <c r="T83" s="339"/>
      <c r="U83" s="339" t="str">
        <f t="shared" si="6"/>
        <v>[1,4]</v>
      </c>
      <c r="V83" s="328"/>
      <c r="W83" s="324">
        <f t="shared" si="7"/>
        <v>415</v>
      </c>
      <c r="X83" s="332" t="str">
        <f>P415</f>
        <v xml:space="preserve">7.1  Fußbodenbeläge </v>
      </c>
      <c r="Y83" s="324" t="str">
        <f t="shared" si="15"/>
        <v>q415:q415</v>
      </c>
    </row>
    <row r="84" spans="1:25" s="215" customFormat="1" hidden="1">
      <c r="D84" s="215" t="s">
        <v>3288</v>
      </c>
      <c r="F84" s="215" t="s">
        <v>1349</v>
      </c>
      <c r="G84" s="215">
        <v>1.2</v>
      </c>
      <c r="H84" s="215" t="s">
        <v>1187</v>
      </c>
      <c r="J84" s="1124"/>
      <c r="K84" s="1073"/>
      <c r="L84" s="1110"/>
      <c r="M84" s="1110"/>
      <c r="N84" s="1110"/>
      <c r="O84" s="324" t="str">
        <f t="shared" si="1"/>
        <v/>
      </c>
      <c r="P84" s="324" t="str">
        <f t="shared" si="2"/>
        <v/>
      </c>
      <c r="Q84" s="324" t="str">
        <f t="shared" si="3"/>
        <v>1.3.3  Calciumsulfat-Estrich (Anhydrit-Estrich) [1,2]</v>
      </c>
      <c r="R84" s="338">
        <f t="shared" si="4"/>
        <v>1.2</v>
      </c>
      <c r="S84" s="339" t="str">
        <f t="shared" si="17"/>
        <v>1.3.3  Calciumsulfat-Estrich (Anhydrit-Estrich)</v>
      </c>
      <c r="T84" s="339"/>
      <c r="U84" s="339" t="str">
        <f t="shared" si="6"/>
        <v>[1,2]</v>
      </c>
      <c r="V84" s="328"/>
      <c r="W84" s="324">
        <f t="shared" si="7"/>
        <v>416</v>
      </c>
      <c r="X84" s="332" t="str">
        <f>P416</f>
        <v xml:space="preserve">7.2  Abdichtstoffe </v>
      </c>
      <c r="Y84" s="324" t="str">
        <f t="shared" si="15"/>
        <v>q416:q416</v>
      </c>
    </row>
    <row r="85" spans="1:25" s="215" customFormat="1" hidden="1">
      <c r="D85" s="215" t="s">
        <v>1395</v>
      </c>
      <c r="F85" s="215" t="s">
        <v>1350</v>
      </c>
      <c r="G85" s="215">
        <v>0.47</v>
      </c>
      <c r="H85" s="215" t="s">
        <v>1187</v>
      </c>
      <c r="J85" s="229"/>
      <c r="K85" s="213"/>
      <c r="L85" s="1111"/>
      <c r="M85" s="1111"/>
      <c r="N85" s="1110"/>
      <c r="O85" s="324" t="str">
        <f t="shared" si="1"/>
        <v/>
      </c>
      <c r="P85" s="324" t="str">
        <f t="shared" si="2"/>
        <v/>
      </c>
      <c r="Q85" s="324" t="str">
        <f t="shared" si="3"/>
        <v>1.3.4  Magnesia-Estrich - rho 1 400  [0,47]</v>
      </c>
      <c r="R85" s="338">
        <f t="shared" si="4"/>
        <v>0.47</v>
      </c>
      <c r="S85" s="339" t="str">
        <f t="shared" si="17"/>
        <v>1.3.4  Magnesia-Estrich</v>
      </c>
      <c r="T85" s="339" t="str">
        <f xml:space="preserve"> "- rho "&amp;F85</f>
        <v xml:space="preserve">- rho 1 400 </v>
      </c>
      <c r="U85" s="339" t="str">
        <f t="shared" si="6"/>
        <v>[0,47]</v>
      </c>
      <c r="V85" s="328"/>
      <c r="W85" s="324">
        <f t="shared" si="7"/>
        <v>417</v>
      </c>
      <c r="X85" s="332" t="str">
        <f>P417</f>
        <v xml:space="preserve">7.2.1  Asphaltmastix, Dicke d ≥ 7 mm </v>
      </c>
      <c r="Y85" s="324" t="str">
        <f t="shared" si="15"/>
        <v>q417:q417</v>
      </c>
    </row>
    <row r="86" spans="1:25" s="215" customFormat="1" hidden="1">
      <c r="D86" s="228" t="str">
        <f>D85</f>
        <v>1.3.4  Magnesia-Estrich</v>
      </c>
      <c r="F86" s="215" t="s">
        <v>1351</v>
      </c>
      <c r="G86" s="215">
        <v>0.7</v>
      </c>
      <c r="H86" s="215" t="s">
        <v>1187</v>
      </c>
      <c r="L86" s="1111"/>
      <c r="M86" s="1111"/>
      <c r="N86" s="1110"/>
      <c r="O86" s="324" t="str">
        <f t="shared" si="1"/>
        <v/>
      </c>
      <c r="P86" s="324" t="str">
        <f t="shared" si="2"/>
        <v/>
      </c>
      <c r="Q86" s="324" t="str">
        <f t="shared" si="3"/>
        <v>1.3.4  Magnesia-Estrich - rho 2 300  [0,7]</v>
      </c>
      <c r="R86" s="338">
        <f t="shared" si="4"/>
        <v>0.7</v>
      </c>
      <c r="S86" s="339" t="str">
        <f t="shared" si="17"/>
        <v>1.3.4  Magnesia-Estrich</v>
      </c>
      <c r="T86" s="339" t="str">
        <f xml:space="preserve"> "- rho "&amp;F86</f>
        <v xml:space="preserve">- rho 2 300 </v>
      </c>
      <c r="U86" s="339" t="str">
        <f t="shared" si="6"/>
        <v>[0,7]</v>
      </c>
      <c r="V86" s="328"/>
      <c r="W86" s="324">
        <f t="shared" si="7"/>
        <v>418</v>
      </c>
      <c r="X86" s="332" t="str">
        <f>P418</f>
        <v>7.3  Dachbahnen</v>
      </c>
      <c r="Y86" s="324" t="str">
        <f t="shared" si="15"/>
        <v>q418:q419</v>
      </c>
    </row>
    <row r="87" spans="1:25" hidden="1">
      <c r="A87" s="214" t="s">
        <v>1352</v>
      </c>
      <c r="B87" s="213" t="s">
        <v>3336</v>
      </c>
      <c r="D87" s="186" t="s">
        <v>828</v>
      </c>
      <c r="E87" s="213"/>
      <c r="J87" s="216"/>
      <c r="O87" s="324" t="str">
        <f t="shared" si="1"/>
        <v>2 Beton-Bauteile</v>
      </c>
      <c r="P87" s="324" t="str">
        <f t="shared" si="2"/>
        <v>2.1 Beton nach DIN EN 206</v>
      </c>
      <c r="Q87" s="324" t="str">
        <f t="shared" si="3"/>
        <v xml:space="preserve">Siehe DIN EN ISO 10456 </v>
      </c>
      <c r="R87" s="338">
        <f t="shared" si="4"/>
        <v>0</v>
      </c>
      <c r="S87" s="339" t="str">
        <f t="shared" si="17"/>
        <v xml:space="preserve">Siehe DIN EN ISO 10456 </v>
      </c>
      <c r="T87" s="339"/>
      <c r="U87" s="339" t="str">
        <f t="shared" si="6"/>
        <v/>
      </c>
      <c r="W87" s="324">
        <f t="shared" si="7"/>
        <v>420</v>
      </c>
      <c r="X87" s="333" t="str">
        <f>P420</f>
        <v>7.4  Folien</v>
      </c>
      <c r="Y87" s="324" t="str">
        <f t="shared" si="15"/>
        <v>q420:q422</v>
      </c>
    </row>
    <row r="88" spans="1:25" ht="12" hidden="1" customHeight="1">
      <c r="B88" s="213" t="s">
        <v>1362</v>
      </c>
      <c r="D88" s="213" t="s">
        <v>1394</v>
      </c>
      <c r="E88" s="213"/>
      <c r="F88" s="213" t="s">
        <v>1353</v>
      </c>
      <c r="G88" s="213">
        <v>0.39</v>
      </c>
      <c r="H88" s="213" t="s">
        <v>1354</v>
      </c>
      <c r="I88" s="213" t="s">
        <v>1348</v>
      </c>
      <c r="O88" s="324" t="str">
        <f t="shared" si="1"/>
        <v/>
      </c>
      <c r="P88" s="324" t="str">
        <f t="shared" si="2"/>
        <v>2.2 Leicht-/Stahlbeton</v>
      </c>
      <c r="Q88" s="324" t="str">
        <f t="shared" si="3"/>
        <v>2.2 Leicht-/Stahlleichtbeton - rho 800  [0,39] (mit geschl. Gefüge)</v>
      </c>
      <c r="R88" s="338">
        <f t="shared" si="4"/>
        <v>0.39</v>
      </c>
      <c r="S88" s="1118" t="s">
        <v>1681</v>
      </c>
      <c r="T88" s="339" t="str">
        <f t="shared" ref="T88:T151" si="19" xml:space="preserve"> "- rho "&amp;F88</f>
        <v xml:space="preserve">- rho 800 </v>
      </c>
      <c r="U88" s="339" t="str">
        <f t="shared" si="6"/>
        <v>[0,39]</v>
      </c>
      <c r="V88" s="1118" t="s">
        <v>1682</v>
      </c>
      <c r="W88" s="324">
        <f t="shared" si="7"/>
        <v>423</v>
      </c>
      <c r="X88" s="332" t="str">
        <f>P423</f>
        <v>8.1  Lose Schüttung</v>
      </c>
      <c r="Y88" s="324" t="str">
        <f t="shared" si="15"/>
        <v>q423:q430</v>
      </c>
    </row>
    <row r="89" spans="1:25" ht="12" hidden="1" customHeight="1">
      <c r="B89" s="1275" t="s">
        <v>3292</v>
      </c>
      <c r="C89" s="1275"/>
      <c r="D89" s="228" t="str">
        <f>D88</f>
        <v>2.2 Leicht-/Stahlleichtbeton mit geschl. Gefüg</v>
      </c>
      <c r="E89" s="213"/>
      <c r="F89" s="213" t="s">
        <v>1355</v>
      </c>
      <c r="G89" s="213">
        <v>0.44</v>
      </c>
      <c r="H89" s="228" t="str">
        <f t="shared" ref="H89:H98" si="20">H88</f>
        <v xml:space="preserve">70/150 </v>
      </c>
      <c r="O89" s="324" t="str">
        <f t="shared" si="1"/>
        <v/>
      </c>
      <c r="P89" s="324" t="str">
        <f t="shared" si="2"/>
        <v/>
      </c>
      <c r="Q89" s="324" t="str">
        <f t="shared" si="3"/>
        <v>2.2 Leicht-/Stahlleichtbeton - rho 900  [0,44] (mit geschl. Gefüge)</v>
      </c>
      <c r="R89" s="338">
        <f t="shared" si="4"/>
        <v>0.44</v>
      </c>
      <c r="S89" s="1118" t="s">
        <v>1681</v>
      </c>
      <c r="T89" s="339" t="str">
        <f t="shared" si="19"/>
        <v xml:space="preserve">- rho 900 </v>
      </c>
      <c r="U89" s="339" t="str">
        <f t="shared" si="6"/>
        <v>[0,44]</v>
      </c>
      <c r="V89" s="1118" t="s">
        <v>1682</v>
      </c>
      <c r="W89" s="324">
        <f t="shared" si="7"/>
        <v>431</v>
      </c>
      <c r="X89" s="332" t="str">
        <f>P431</f>
        <v>8.2  Fliesen</v>
      </c>
      <c r="Y89" s="324" t="str">
        <f t="shared" si="15"/>
        <v>q431:q431</v>
      </c>
    </row>
    <row r="90" spans="1:25" hidden="1">
      <c r="B90" s="1275"/>
      <c r="C90" s="1275"/>
      <c r="D90" s="228" t="str">
        <f t="shared" ref="D90:D155" si="21">D89</f>
        <v>2.2 Leicht-/Stahlleichtbeton mit geschl. Gefüg</v>
      </c>
      <c r="E90" s="213"/>
      <c r="F90" s="213" t="s">
        <v>1200</v>
      </c>
      <c r="G90" s="213">
        <v>0.49</v>
      </c>
      <c r="H90" s="228" t="str">
        <f t="shared" si="20"/>
        <v xml:space="preserve">70/150 </v>
      </c>
      <c r="O90" s="324" t="str">
        <f t="shared" si="1"/>
        <v/>
      </c>
      <c r="P90" s="324" t="str">
        <f t="shared" si="2"/>
        <v/>
      </c>
      <c r="Q90" s="324" t="str">
        <f t="shared" si="3"/>
        <v>2.2 Leicht-/Stahlleichtbeton - rho 1 000  [0,49] (mit geschl. Gefüge)</v>
      </c>
      <c r="R90" s="338">
        <f t="shared" si="4"/>
        <v>0.49</v>
      </c>
      <c r="S90" s="1118" t="s">
        <v>1681</v>
      </c>
      <c r="T90" s="339" t="str">
        <f t="shared" si="19"/>
        <v xml:space="preserve">- rho 1 000 </v>
      </c>
      <c r="U90" s="339" t="str">
        <f t="shared" si="6"/>
        <v>[0,49]</v>
      </c>
      <c r="V90" s="1118" t="s">
        <v>1682</v>
      </c>
      <c r="W90" s="324">
        <f t="shared" si="7"/>
        <v>432</v>
      </c>
      <c r="X90" s="332" t="str">
        <f>P432</f>
        <v>8.3  Glas</v>
      </c>
      <c r="Y90" s="324" t="str">
        <f t="shared" si="15"/>
        <v>q432:q432</v>
      </c>
    </row>
    <row r="91" spans="1:25" hidden="1">
      <c r="B91" s="1275"/>
      <c r="C91" s="1275"/>
      <c r="D91" s="228" t="str">
        <f t="shared" si="21"/>
        <v>2.2 Leicht-/Stahlleichtbeton mit geschl. Gefüg</v>
      </c>
      <c r="E91" s="213"/>
      <c r="F91" s="213" t="s">
        <v>1356</v>
      </c>
      <c r="G91" s="213">
        <v>0.55000000000000004</v>
      </c>
      <c r="H91" s="228" t="str">
        <f t="shared" si="20"/>
        <v xml:space="preserve">70/150 </v>
      </c>
      <c r="J91" s="216" t="str">
        <f t="shared" ref="J91:J98" si="22">A91&amp;" "&amp;B91</f>
        <v xml:space="preserve"> </v>
      </c>
      <c r="O91" s="324" t="str">
        <f t="shared" si="1"/>
        <v/>
      </c>
      <c r="P91" s="324" t="str">
        <f t="shared" si="2"/>
        <v/>
      </c>
      <c r="Q91" s="324" t="str">
        <f t="shared" si="3"/>
        <v>2.2 Leicht-/Stahlleichtbeton - rho 1 100  [0,55] (mit geschl. Gefüge)</v>
      </c>
      <c r="R91" s="338">
        <f t="shared" si="4"/>
        <v>0.55000000000000004</v>
      </c>
      <c r="S91" s="1118" t="s">
        <v>1681</v>
      </c>
      <c r="T91" s="339" t="str">
        <f t="shared" si="19"/>
        <v xml:space="preserve">- rho 1 100 </v>
      </c>
      <c r="U91" s="339" t="str">
        <f t="shared" si="6"/>
        <v>[0,55]</v>
      </c>
      <c r="V91" s="1118" t="s">
        <v>1682</v>
      </c>
      <c r="W91" s="324">
        <f t="shared" si="7"/>
        <v>433</v>
      </c>
      <c r="X91" s="332" t="str">
        <f>P433</f>
        <v>8.4  Natursteine</v>
      </c>
      <c r="Y91" s="324" t="str">
        <f t="shared" si="15"/>
        <v>q433:q433</v>
      </c>
    </row>
    <row r="92" spans="1:25" hidden="1">
      <c r="B92" s="1275"/>
      <c r="C92" s="1275"/>
      <c r="D92" s="228" t="str">
        <f t="shared" si="21"/>
        <v>2.2 Leicht-/Stahlleichtbeton mit geschl. Gefüg</v>
      </c>
      <c r="E92" s="213"/>
      <c r="F92" s="213" t="s">
        <v>1357</v>
      </c>
      <c r="G92" s="213">
        <v>0.62</v>
      </c>
      <c r="H92" s="228" t="str">
        <f t="shared" si="20"/>
        <v xml:space="preserve">70/150 </v>
      </c>
      <c r="J92" s="216" t="str">
        <f t="shared" si="22"/>
        <v xml:space="preserve"> </v>
      </c>
      <c r="O92" s="324" t="str">
        <f t="shared" si="1"/>
        <v/>
      </c>
      <c r="P92" s="324" t="str">
        <f t="shared" ref="P92:P123" si="23">IF(ISERROR(VALUE((LEFT(B92,1))))=FALSE,B92,"")</f>
        <v/>
      </c>
      <c r="Q92" s="324" t="str">
        <f t="shared" si="3"/>
        <v>2.2 Leicht-/Stahlleichtbeton - rho 1 200  [0,62] (mit geschl. Gefüge)</v>
      </c>
      <c r="R92" s="338">
        <f t="shared" si="4"/>
        <v>0.62</v>
      </c>
      <c r="S92" s="1118" t="s">
        <v>1681</v>
      </c>
      <c r="T92" s="339" t="str">
        <f t="shared" si="19"/>
        <v xml:space="preserve">- rho 1 200 </v>
      </c>
      <c r="U92" s="339" t="str">
        <f t="shared" si="6"/>
        <v>[0,62]</v>
      </c>
      <c r="V92" s="1118" t="s">
        <v>1682</v>
      </c>
      <c r="W92" s="324">
        <f t="shared" si="7"/>
        <v>434</v>
      </c>
      <c r="X92" s="332" t="str">
        <f>P434</f>
        <v>8.5  Lehmbaustoffe</v>
      </c>
      <c r="Y92" s="324" t="str">
        <f t="shared" si="15"/>
        <v>q434:q444</v>
      </c>
    </row>
    <row r="93" spans="1:25" hidden="1">
      <c r="B93" s="1112"/>
      <c r="C93" s="1112"/>
      <c r="D93" s="228" t="str">
        <f t="shared" si="21"/>
        <v>2.2 Leicht-/Stahlleichtbeton mit geschl. Gefüg</v>
      </c>
      <c r="E93" s="213"/>
      <c r="F93" s="213" t="s">
        <v>1358</v>
      </c>
      <c r="G93" s="213">
        <v>0.7</v>
      </c>
      <c r="H93" s="228" t="str">
        <f t="shared" si="20"/>
        <v xml:space="preserve">70/150 </v>
      </c>
      <c r="J93" s="216" t="str">
        <f t="shared" si="22"/>
        <v xml:space="preserve"> </v>
      </c>
      <c r="O93" s="324" t="str">
        <f t="shared" si="1"/>
        <v/>
      </c>
      <c r="P93" s="324" t="str">
        <f t="shared" si="23"/>
        <v/>
      </c>
      <c r="Q93" s="324" t="str">
        <f t="shared" si="3"/>
        <v>2.2 Leicht-/Stahlleichtbeton - rho 1 300  [0,7] (mit geschl. Gefüge)</v>
      </c>
      <c r="R93" s="338">
        <f t="shared" si="4"/>
        <v>0.7</v>
      </c>
      <c r="S93" s="1118" t="s">
        <v>1681</v>
      </c>
      <c r="T93" s="339" t="str">
        <f t="shared" si="19"/>
        <v xml:space="preserve">- rho 1 300 </v>
      </c>
      <c r="U93" s="339" t="str">
        <f t="shared" si="6"/>
        <v>[0,7]</v>
      </c>
      <c r="V93" s="1118" t="s">
        <v>1682</v>
      </c>
      <c r="W93" s="324">
        <f t="shared" si="7"/>
        <v>445</v>
      </c>
      <c r="X93" s="332" t="str">
        <f>P445</f>
        <v xml:space="preserve">8.6  Böden, naturfeucht </v>
      </c>
      <c r="Y93" s="324" t="str">
        <f t="shared" si="15"/>
        <v>q445:q445</v>
      </c>
    </row>
    <row r="94" spans="1:25" hidden="1">
      <c r="B94" s="1112"/>
      <c r="C94" s="1112"/>
      <c r="D94" s="228" t="str">
        <f t="shared" si="21"/>
        <v>2.2 Leicht-/Stahlleichtbeton mit geschl. Gefüg</v>
      </c>
      <c r="E94" s="213"/>
      <c r="F94" s="213" t="s">
        <v>1350</v>
      </c>
      <c r="G94" s="213">
        <v>0.79</v>
      </c>
      <c r="H94" s="228" t="str">
        <f t="shared" si="20"/>
        <v xml:space="preserve">70/150 </v>
      </c>
      <c r="J94" s="216" t="str">
        <f t="shared" si="22"/>
        <v xml:space="preserve"> </v>
      </c>
      <c r="O94" s="324" t="str">
        <f t="shared" si="1"/>
        <v/>
      </c>
      <c r="P94" s="324" t="str">
        <f t="shared" si="23"/>
        <v/>
      </c>
      <c r="Q94" s="324" t="str">
        <f t="shared" si="3"/>
        <v>2.2 Leicht-/Stahlleichtbeton - rho 1 400  [0,79] (mit geschl. Gefüge)</v>
      </c>
      <c r="R94" s="338">
        <f t="shared" si="4"/>
        <v>0.79</v>
      </c>
      <c r="S94" s="1118" t="s">
        <v>1681</v>
      </c>
      <c r="T94" s="339" t="str">
        <f t="shared" si="19"/>
        <v xml:space="preserve">- rho 1 400 </v>
      </c>
      <c r="U94" s="339" t="str">
        <f t="shared" si="6"/>
        <v>[0,79]</v>
      </c>
      <c r="V94" s="1118" t="s">
        <v>1682</v>
      </c>
      <c r="W94" s="324">
        <f t="shared" si="7"/>
        <v>446</v>
      </c>
      <c r="X94" s="332" t="str">
        <f>P446</f>
        <v xml:space="preserve">8.7  Keramik und Glasmosaik </v>
      </c>
      <c r="Y94" s="324" t="str">
        <f t="shared" si="15"/>
        <v>q446:q446</v>
      </c>
    </row>
    <row r="95" spans="1:25" hidden="1">
      <c r="B95" s="1112"/>
      <c r="C95" s="1112"/>
      <c r="D95" s="228" t="str">
        <f t="shared" si="21"/>
        <v>2.2 Leicht-/Stahlleichtbeton mit geschl. Gefüg</v>
      </c>
      <c r="E95" s="213"/>
      <c r="F95" s="213" t="s">
        <v>1201</v>
      </c>
      <c r="G95" s="213">
        <v>0.89</v>
      </c>
      <c r="H95" s="228" t="str">
        <f t="shared" si="20"/>
        <v xml:space="preserve">70/150 </v>
      </c>
      <c r="J95" s="216" t="str">
        <f t="shared" si="22"/>
        <v xml:space="preserve"> </v>
      </c>
      <c r="O95" s="324" t="str">
        <f t="shared" si="1"/>
        <v/>
      </c>
      <c r="P95" s="324" t="str">
        <f t="shared" si="23"/>
        <v/>
      </c>
      <c r="Q95" s="324" t="str">
        <f t="shared" si="3"/>
        <v>2.2 Leicht-/Stahlleichtbeton - rho 1 500  [0,89] (mit geschl. Gefüge)</v>
      </c>
      <c r="R95" s="338">
        <f t="shared" si="4"/>
        <v>0.89</v>
      </c>
      <c r="S95" s="1118" t="s">
        <v>1681</v>
      </c>
      <c r="T95" s="339" t="str">
        <f t="shared" si="19"/>
        <v xml:space="preserve">- rho 1 500 </v>
      </c>
      <c r="U95" s="339" t="str">
        <f t="shared" si="6"/>
        <v>[0,89]</v>
      </c>
      <c r="V95" s="1118" t="s">
        <v>1682</v>
      </c>
      <c r="W95" s="324">
        <f t="shared" si="7"/>
        <v>447</v>
      </c>
      <c r="X95" s="332" t="str">
        <f>P447</f>
        <v xml:space="preserve">8.8  Metalle </v>
      </c>
      <c r="Y95" s="324" t="str">
        <f t="shared" si="15"/>
        <v>q447:q447</v>
      </c>
    </row>
    <row r="96" spans="1:25" hidden="1">
      <c r="B96" s="1112"/>
      <c r="C96" s="1112"/>
      <c r="D96" s="228" t="str">
        <f t="shared" si="21"/>
        <v>2.2 Leicht-/Stahlleichtbeton mit geschl. Gefüg</v>
      </c>
      <c r="E96" s="213"/>
      <c r="F96" s="213" t="s">
        <v>1359</v>
      </c>
      <c r="G96" s="213">
        <v>1</v>
      </c>
      <c r="H96" s="228" t="str">
        <f t="shared" si="20"/>
        <v xml:space="preserve">70/150 </v>
      </c>
      <c r="J96" s="216" t="str">
        <f t="shared" si="22"/>
        <v xml:space="preserve"> </v>
      </c>
      <c r="O96" s="324" t="str">
        <f t="shared" si="1"/>
        <v/>
      </c>
      <c r="P96" s="324" t="str">
        <f t="shared" si="23"/>
        <v/>
      </c>
      <c r="Q96" s="324" t="str">
        <f t="shared" si="3"/>
        <v>2.2 Leicht-/Stahlleichtbeton - rho 1 600  [1] (mit geschl. Gefüge)</v>
      </c>
      <c r="R96" s="338">
        <f t="shared" si="4"/>
        <v>1</v>
      </c>
      <c r="S96" s="1118" t="s">
        <v>1681</v>
      </c>
      <c r="T96" s="339" t="str">
        <f t="shared" si="19"/>
        <v xml:space="preserve">- rho 1 600 </v>
      </c>
      <c r="U96" s="339" t="str">
        <f t="shared" si="6"/>
        <v>[1]</v>
      </c>
      <c r="V96" s="1118" t="s">
        <v>1682</v>
      </c>
      <c r="W96" s="324">
        <f t="shared" si="7"/>
        <v>448</v>
      </c>
      <c r="X96" s="342" t="str">
        <f>P448</f>
        <v>ENDE</v>
      </c>
    </row>
    <row r="97" spans="2:22" hidden="1">
      <c r="B97" s="1112"/>
      <c r="C97" s="1112"/>
      <c r="D97" s="228" t="str">
        <f t="shared" si="21"/>
        <v>2.2 Leicht-/Stahlleichtbeton mit geschl. Gefüg</v>
      </c>
      <c r="E97" s="213"/>
      <c r="F97" s="213" t="s">
        <v>1360</v>
      </c>
      <c r="G97" s="213">
        <v>1.1499999999999999</v>
      </c>
      <c r="H97" s="228" t="str">
        <f t="shared" si="20"/>
        <v xml:space="preserve">70/150 </v>
      </c>
      <c r="J97" s="216" t="str">
        <f t="shared" si="22"/>
        <v xml:space="preserve"> </v>
      </c>
      <c r="O97" s="324" t="str">
        <f t="shared" si="1"/>
        <v/>
      </c>
      <c r="P97" s="324" t="str">
        <f t="shared" si="23"/>
        <v/>
      </c>
      <c r="Q97" s="324" t="str">
        <f t="shared" si="3"/>
        <v>2.2 Leicht-/Stahlleichtbeton - rho 1 800  [1,15] (mit geschl. Gefüge)</v>
      </c>
      <c r="R97" s="338">
        <f t="shared" si="4"/>
        <v>1.1499999999999999</v>
      </c>
      <c r="S97" s="1118" t="s">
        <v>1681</v>
      </c>
      <c r="T97" s="339" t="str">
        <f t="shared" si="19"/>
        <v xml:space="preserve">- rho 1 800 </v>
      </c>
      <c r="U97" s="339" t="str">
        <f t="shared" si="6"/>
        <v>[1,15]</v>
      </c>
      <c r="V97" s="1118" t="s">
        <v>1682</v>
      </c>
    </row>
    <row r="98" spans="2:22" hidden="1">
      <c r="D98" s="228" t="str">
        <f t="shared" si="21"/>
        <v>2.2 Leicht-/Stahlleichtbeton mit geschl. Gefüg</v>
      </c>
      <c r="E98" s="213"/>
      <c r="F98" s="213" t="s">
        <v>1361</v>
      </c>
      <c r="G98" s="213">
        <v>1.35</v>
      </c>
      <c r="H98" s="228" t="str">
        <f t="shared" si="20"/>
        <v xml:space="preserve">70/150 </v>
      </c>
      <c r="J98" s="216" t="str">
        <f t="shared" si="22"/>
        <v xml:space="preserve"> </v>
      </c>
      <c r="O98" s="324" t="str">
        <f t="shared" si="1"/>
        <v/>
      </c>
      <c r="P98" s="324" t="str">
        <f t="shared" si="23"/>
        <v/>
      </c>
      <c r="Q98" s="324" t="str">
        <f t="shared" si="3"/>
        <v>2.2 Leicht-/Stahlleichtbeton - rho 2 000  [1,35] (mit geschl. Gefüge)</v>
      </c>
      <c r="R98" s="338">
        <f t="shared" si="4"/>
        <v>1.35</v>
      </c>
      <c r="S98" s="1118" t="s">
        <v>1681</v>
      </c>
      <c r="T98" s="339" t="str">
        <f t="shared" si="19"/>
        <v xml:space="preserve">- rho 2 000 </v>
      </c>
      <c r="U98" s="339" t="str">
        <f t="shared" si="6"/>
        <v>[1,35]</v>
      </c>
      <c r="V98" s="1118" t="s">
        <v>1682</v>
      </c>
    </row>
    <row r="99" spans="2:22" hidden="1">
      <c r="B99" s="213" t="s">
        <v>1363</v>
      </c>
      <c r="D99" s="213" t="s">
        <v>1393</v>
      </c>
      <c r="E99" s="213"/>
      <c r="F99" s="213" t="s">
        <v>1364</v>
      </c>
      <c r="G99" s="213">
        <v>0.11</v>
      </c>
      <c r="H99" s="213" t="s">
        <v>1365</v>
      </c>
      <c r="O99" s="324" t="str">
        <f t="shared" si="1"/>
        <v/>
      </c>
      <c r="P99" s="324" t="str">
        <f t="shared" si="23"/>
        <v>2.3 Porenbeton</v>
      </c>
      <c r="Q99" s="324" t="str">
        <f t="shared" si="3"/>
        <v>2.3 Dampfgehärteter Porenbeton - rho 350  [0,11]</v>
      </c>
      <c r="R99" s="338">
        <f t="shared" si="4"/>
        <v>0.11</v>
      </c>
      <c r="S99" s="339" t="str">
        <f t="shared" ref="S99:S110" si="24">D99</f>
        <v>2.3 Dampfgehärteter Porenbeton</v>
      </c>
      <c r="T99" s="339" t="str">
        <f t="shared" si="19"/>
        <v xml:space="preserve">- rho 350 </v>
      </c>
      <c r="U99" s="339" t="str">
        <f t="shared" si="6"/>
        <v>[0,11]</v>
      </c>
    </row>
    <row r="100" spans="2:22" ht="12" hidden="1" customHeight="1">
      <c r="B100" s="1275" t="s">
        <v>3293</v>
      </c>
      <c r="C100" s="1275"/>
      <c r="D100" s="228" t="str">
        <f t="shared" si="21"/>
        <v>2.3 Dampfgehärteter Porenbeton</v>
      </c>
      <c r="E100" s="213"/>
      <c r="F100" s="213" t="s">
        <v>1198</v>
      </c>
      <c r="G100" s="213">
        <v>0.12</v>
      </c>
      <c r="H100" s="228" t="str">
        <f t="shared" ref="H100:H110" si="25">H99</f>
        <v xml:space="preserve">5/10 </v>
      </c>
      <c r="K100" s="1073"/>
      <c r="O100" s="324" t="str">
        <f t="shared" si="1"/>
        <v/>
      </c>
      <c r="P100" s="324" t="str">
        <f t="shared" si="23"/>
        <v/>
      </c>
      <c r="Q100" s="324" t="str">
        <f t="shared" si="3"/>
        <v>2.3 Dampfgehärteter Porenbeton - rho 400  [0,12]</v>
      </c>
      <c r="R100" s="338">
        <f t="shared" si="4"/>
        <v>0.12</v>
      </c>
      <c r="S100" s="339" t="str">
        <f t="shared" si="24"/>
        <v>2.3 Dampfgehärteter Porenbeton</v>
      </c>
      <c r="T100" s="339" t="str">
        <f t="shared" si="19"/>
        <v xml:space="preserve">- rho 400 </v>
      </c>
      <c r="U100" s="339" t="str">
        <f t="shared" si="6"/>
        <v>[0,12]</v>
      </c>
    </row>
    <row r="101" spans="2:22" hidden="1">
      <c r="B101" s="1275"/>
      <c r="C101" s="1275"/>
      <c r="D101" s="228" t="str">
        <f t="shared" si="21"/>
        <v>2.3 Dampfgehärteter Porenbeton</v>
      </c>
      <c r="E101" s="213"/>
      <c r="F101" s="213" t="s">
        <v>1366</v>
      </c>
      <c r="G101" s="213">
        <v>0.13</v>
      </c>
      <c r="H101" s="228" t="str">
        <f t="shared" si="25"/>
        <v xml:space="preserve">5/10 </v>
      </c>
      <c r="K101" s="1073"/>
      <c r="O101" s="324" t="str">
        <f t="shared" si="1"/>
        <v/>
      </c>
      <c r="P101" s="324" t="str">
        <f t="shared" si="23"/>
        <v/>
      </c>
      <c r="Q101" s="324" t="str">
        <f t="shared" si="3"/>
        <v>2.3 Dampfgehärteter Porenbeton - rho 450  [0,13]</v>
      </c>
      <c r="R101" s="338">
        <f t="shared" si="4"/>
        <v>0.13</v>
      </c>
      <c r="S101" s="339" t="str">
        <f t="shared" si="24"/>
        <v>2.3 Dampfgehärteter Porenbeton</v>
      </c>
      <c r="T101" s="339" t="str">
        <f t="shared" si="19"/>
        <v xml:space="preserve">- rho 450 </v>
      </c>
      <c r="U101" s="339" t="str">
        <f t="shared" si="6"/>
        <v>[0,13]</v>
      </c>
    </row>
    <row r="102" spans="2:22" hidden="1">
      <c r="B102" s="1275"/>
      <c r="C102" s="1275"/>
      <c r="D102" s="228" t="str">
        <f t="shared" si="21"/>
        <v>2.3 Dampfgehärteter Porenbeton</v>
      </c>
      <c r="E102" s="213"/>
      <c r="F102" s="213" t="s">
        <v>1367</v>
      </c>
      <c r="G102" s="213">
        <v>0.14000000000000001</v>
      </c>
      <c r="H102" s="228" t="str">
        <f t="shared" si="25"/>
        <v xml:space="preserve">5/10 </v>
      </c>
      <c r="K102" s="1073"/>
      <c r="O102" s="324" t="str">
        <f t="shared" si="1"/>
        <v/>
      </c>
      <c r="P102" s="324" t="str">
        <f t="shared" si="23"/>
        <v/>
      </c>
      <c r="Q102" s="324" t="str">
        <f t="shared" si="3"/>
        <v>2.3 Dampfgehärteter Porenbeton - rho 500  [0,14]</v>
      </c>
      <c r="R102" s="338">
        <f t="shared" si="4"/>
        <v>0.14000000000000001</v>
      </c>
      <c r="S102" s="339" t="str">
        <f t="shared" si="24"/>
        <v>2.3 Dampfgehärteter Porenbeton</v>
      </c>
      <c r="T102" s="339" t="str">
        <f t="shared" si="19"/>
        <v xml:space="preserve">- rho 500 </v>
      </c>
      <c r="U102" s="339" t="str">
        <f t="shared" si="6"/>
        <v>[0,14]</v>
      </c>
    </row>
    <row r="103" spans="2:22" hidden="1">
      <c r="B103" s="1275"/>
      <c r="C103" s="1275"/>
      <c r="D103" s="228" t="str">
        <f t="shared" si="21"/>
        <v>2.3 Dampfgehärteter Porenbeton</v>
      </c>
      <c r="F103" s="213" t="s">
        <v>1368</v>
      </c>
      <c r="G103" s="213">
        <v>0.16</v>
      </c>
      <c r="H103" s="228" t="str">
        <f t="shared" si="25"/>
        <v xml:space="preserve">5/10 </v>
      </c>
      <c r="K103" s="1073"/>
      <c r="O103" s="324" t="str">
        <f t="shared" si="1"/>
        <v/>
      </c>
      <c r="P103" s="324" t="str">
        <f t="shared" si="23"/>
        <v/>
      </c>
      <c r="Q103" s="324" t="str">
        <f t="shared" si="3"/>
        <v>2.3 Dampfgehärteter Porenbeton - rho 550  [0,16]</v>
      </c>
      <c r="R103" s="338">
        <f t="shared" si="4"/>
        <v>0.16</v>
      </c>
      <c r="S103" s="339" t="str">
        <f t="shared" si="24"/>
        <v>2.3 Dampfgehärteter Porenbeton</v>
      </c>
      <c r="T103" s="339" t="str">
        <f t="shared" si="19"/>
        <v xml:space="preserve">- rho 550 </v>
      </c>
      <c r="U103" s="339" t="str">
        <f t="shared" si="6"/>
        <v>[0,16]</v>
      </c>
    </row>
    <row r="104" spans="2:22" hidden="1">
      <c r="B104" s="1112"/>
      <c r="C104" s="1112"/>
      <c r="D104" s="228" t="str">
        <f t="shared" si="21"/>
        <v>2.3 Dampfgehärteter Porenbeton</v>
      </c>
      <c r="F104" s="213" t="s">
        <v>1369</v>
      </c>
      <c r="G104" s="213">
        <v>0.18</v>
      </c>
      <c r="H104" s="228" t="str">
        <f t="shared" si="25"/>
        <v xml:space="preserve">5/10 </v>
      </c>
      <c r="K104" s="1073"/>
      <c r="O104" s="324" t="str">
        <f t="shared" si="1"/>
        <v/>
      </c>
      <c r="P104" s="324" t="str">
        <f t="shared" si="23"/>
        <v/>
      </c>
      <c r="Q104" s="324" t="str">
        <f t="shared" si="3"/>
        <v>2.3 Dampfgehärteter Porenbeton - rho 600  [0,18]</v>
      </c>
      <c r="R104" s="338">
        <f t="shared" si="4"/>
        <v>0.18</v>
      </c>
      <c r="S104" s="339" t="str">
        <f t="shared" si="24"/>
        <v>2.3 Dampfgehärteter Porenbeton</v>
      </c>
      <c r="T104" s="339" t="str">
        <f t="shared" si="19"/>
        <v xml:space="preserve">- rho 600 </v>
      </c>
      <c r="U104" s="339" t="str">
        <f t="shared" si="6"/>
        <v>[0,18]</v>
      </c>
    </row>
    <row r="105" spans="2:22" hidden="1">
      <c r="B105" s="1112"/>
      <c r="C105" s="1112"/>
      <c r="D105" s="228" t="str">
        <f t="shared" si="21"/>
        <v>2.3 Dampfgehärteter Porenbeton</v>
      </c>
      <c r="F105" s="213" t="s">
        <v>1370</v>
      </c>
      <c r="G105" s="213">
        <v>0.19</v>
      </c>
      <c r="H105" s="228" t="str">
        <f t="shared" si="25"/>
        <v xml:space="preserve">5/10 </v>
      </c>
      <c r="K105" s="1073"/>
      <c r="O105" s="324" t="str">
        <f t="shared" si="1"/>
        <v/>
      </c>
      <c r="P105" s="324" t="str">
        <f t="shared" si="23"/>
        <v/>
      </c>
      <c r="Q105" s="324" t="str">
        <f t="shared" si="3"/>
        <v>2.3 Dampfgehärteter Porenbeton - rho 650  [0,19]</v>
      </c>
      <c r="R105" s="338">
        <f t="shared" si="4"/>
        <v>0.19</v>
      </c>
      <c r="S105" s="339" t="str">
        <f t="shared" si="24"/>
        <v>2.3 Dampfgehärteter Porenbeton</v>
      </c>
      <c r="T105" s="339" t="str">
        <f t="shared" si="19"/>
        <v xml:space="preserve">- rho 650 </v>
      </c>
      <c r="U105" s="339" t="str">
        <f t="shared" si="6"/>
        <v>[0,19]</v>
      </c>
    </row>
    <row r="106" spans="2:22" hidden="1">
      <c r="B106" s="1112"/>
      <c r="D106" s="228" t="str">
        <f t="shared" si="21"/>
        <v>2.3 Dampfgehärteter Porenbeton</v>
      </c>
      <c r="F106" s="213" t="s">
        <v>1199</v>
      </c>
      <c r="G106" s="213">
        <v>0.2</v>
      </c>
      <c r="H106" s="228" t="str">
        <f t="shared" si="25"/>
        <v xml:space="preserve">5/10 </v>
      </c>
      <c r="K106" s="1073"/>
      <c r="O106" s="324" t="str">
        <f t="shared" si="1"/>
        <v/>
      </c>
      <c r="P106" s="324" t="str">
        <f t="shared" si="23"/>
        <v/>
      </c>
      <c r="Q106" s="324" t="str">
        <f t="shared" si="3"/>
        <v>2.3 Dampfgehärteter Porenbeton - rho 700  [0,2]</v>
      </c>
      <c r="R106" s="338">
        <f t="shared" si="4"/>
        <v>0.2</v>
      </c>
      <c r="S106" s="339" t="str">
        <f t="shared" si="24"/>
        <v>2.3 Dampfgehärteter Porenbeton</v>
      </c>
      <c r="T106" s="339" t="str">
        <f t="shared" si="19"/>
        <v xml:space="preserve">- rho 700 </v>
      </c>
      <c r="U106" s="339" t="str">
        <f t="shared" si="6"/>
        <v>[0,2]</v>
      </c>
    </row>
    <row r="107" spans="2:22" hidden="1">
      <c r="B107" s="1112"/>
      <c r="D107" s="228" t="str">
        <f t="shared" si="21"/>
        <v>2.3 Dampfgehärteter Porenbeton</v>
      </c>
      <c r="F107" s="213" t="s">
        <v>1371</v>
      </c>
      <c r="G107" s="213">
        <v>0.21</v>
      </c>
      <c r="H107" s="228" t="str">
        <f t="shared" si="25"/>
        <v xml:space="preserve">5/10 </v>
      </c>
      <c r="K107" s="1073"/>
      <c r="O107" s="324" t="str">
        <f t="shared" si="1"/>
        <v/>
      </c>
      <c r="P107" s="324" t="str">
        <f t="shared" si="23"/>
        <v/>
      </c>
      <c r="Q107" s="324" t="str">
        <f t="shared" si="3"/>
        <v>2.3 Dampfgehärteter Porenbeton - rho 750  [0,21]</v>
      </c>
      <c r="R107" s="338">
        <f t="shared" si="4"/>
        <v>0.21</v>
      </c>
      <c r="S107" s="339" t="str">
        <f t="shared" si="24"/>
        <v>2.3 Dampfgehärteter Porenbeton</v>
      </c>
      <c r="T107" s="339" t="str">
        <f t="shared" si="19"/>
        <v xml:space="preserve">- rho 750 </v>
      </c>
      <c r="U107" s="339" t="str">
        <f t="shared" si="6"/>
        <v>[0,21]</v>
      </c>
    </row>
    <row r="108" spans="2:22" hidden="1">
      <c r="B108" s="1112"/>
      <c r="D108" s="228" t="str">
        <f t="shared" si="21"/>
        <v>2.3 Dampfgehärteter Porenbeton</v>
      </c>
      <c r="F108" s="213" t="s">
        <v>1353</v>
      </c>
      <c r="G108" s="213">
        <v>0.23</v>
      </c>
      <c r="H108" s="228" t="str">
        <f t="shared" si="25"/>
        <v xml:space="preserve">5/10 </v>
      </c>
      <c r="K108" s="1073"/>
      <c r="O108" s="324" t="str">
        <f t="shared" si="1"/>
        <v/>
      </c>
      <c r="P108" s="324" t="str">
        <f t="shared" si="23"/>
        <v/>
      </c>
      <c r="Q108" s="324" t="str">
        <f t="shared" si="3"/>
        <v>2.3 Dampfgehärteter Porenbeton - rho 800  [0,23]</v>
      </c>
      <c r="R108" s="338">
        <f t="shared" si="4"/>
        <v>0.23</v>
      </c>
      <c r="S108" s="339" t="str">
        <f t="shared" si="24"/>
        <v>2.3 Dampfgehärteter Porenbeton</v>
      </c>
      <c r="T108" s="339" t="str">
        <f t="shared" si="19"/>
        <v xml:space="preserve">- rho 800 </v>
      </c>
      <c r="U108" s="339" t="str">
        <f t="shared" si="6"/>
        <v>[0,23]</v>
      </c>
    </row>
    <row r="109" spans="2:22" hidden="1">
      <c r="D109" s="228" t="str">
        <f t="shared" si="21"/>
        <v>2.3 Dampfgehärteter Porenbeton</v>
      </c>
      <c r="F109" s="213" t="s">
        <v>1355</v>
      </c>
      <c r="G109" s="213">
        <v>0.26</v>
      </c>
      <c r="H109" s="228" t="str">
        <f t="shared" si="25"/>
        <v xml:space="preserve">5/10 </v>
      </c>
      <c r="K109" s="1073"/>
      <c r="O109" s="324" t="str">
        <f t="shared" si="1"/>
        <v/>
      </c>
      <c r="P109" s="324" t="str">
        <f t="shared" si="23"/>
        <v/>
      </c>
      <c r="Q109" s="324" t="str">
        <f t="shared" si="3"/>
        <v>2.3 Dampfgehärteter Porenbeton - rho 900  [0,26]</v>
      </c>
      <c r="R109" s="338">
        <f t="shared" si="4"/>
        <v>0.26</v>
      </c>
      <c r="S109" s="339" t="str">
        <f t="shared" si="24"/>
        <v>2.3 Dampfgehärteter Porenbeton</v>
      </c>
      <c r="T109" s="339" t="str">
        <f t="shared" si="19"/>
        <v xml:space="preserve">- rho 900 </v>
      </c>
      <c r="U109" s="339" t="str">
        <f t="shared" si="6"/>
        <v>[0,26]</v>
      </c>
    </row>
    <row r="110" spans="2:22" hidden="1">
      <c r="D110" s="228" t="str">
        <f t="shared" si="21"/>
        <v>2.3 Dampfgehärteter Porenbeton</v>
      </c>
      <c r="F110" s="213" t="s">
        <v>1200</v>
      </c>
      <c r="G110" s="213">
        <v>0.28999999999999998</v>
      </c>
      <c r="H110" s="228" t="str">
        <f t="shared" si="25"/>
        <v xml:space="preserve">5/10 </v>
      </c>
      <c r="K110" s="1073"/>
      <c r="O110" s="324" t="str">
        <f t="shared" si="1"/>
        <v/>
      </c>
      <c r="P110" s="324" t="str">
        <f t="shared" si="23"/>
        <v/>
      </c>
      <c r="Q110" s="324" t="str">
        <f t="shared" si="3"/>
        <v>2.3 Dampfgehärteter Porenbeton - rho 1 000  [0,29]</v>
      </c>
      <c r="R110" s="338">
        <f t="shared" si="4"/>
        <v>0.28999999999999998</v>
      </c>
      <c r="S110" s="339" t="str">
        <f t="shared" si="24"/>
        <v>2.3 Dampfgehärteter Porenbeton</v>
      </c>
      <c r="T110" s="339" t="str">
        <f t="shared" si="19"/>
        <v xml:space="preserve">- rho 1 000 </v>
      </c>
      <c r="U110" s="339" t="str">
        <f t="shared" si="6"/>
        <v>[0,29]</v>
      </c>
    </row>
    <row r="111" spans="2:22" ht="12" hidden="1" customHeight="1">
      <c r="B111" s="213" t="s">
        <v>1372</v>
      </c>
      <c r="D111" s="182" t="s">
        <v>1383</v>
      </c>
      <c r="E111" s="182"/>
      <c r="F111" s="213" t="s">
        <v>1359</v>
      </c>
      <c r="G111" s="213">
        <v>0.81</v>
      </c>
      <c r="H111" s="213" t="s">
        <v>1374</v>
      </c>
      <c r="O111" s="324" t="str">
        <f t="shared" si="1"/>
        <v/>
      </c>
      <c r="P111" s="324" t="str">
        <f t="shared" si="23"/>
        <v>2.4 Leichtbeton</v>
      </c>
      <c r="Q111" s="324" t="str">
        <f t="shared" si="3"/>
        <v>2.4.1 Leichtbeton nichtporig - rho 1 600  [0,81] (mit nichtporigen Zuschlägen)</v>
      </c>
      <c r="R111" s="338">
        <f t="shared" si="4"/>
        <v>0.81</v>
      </c>
      <c r="S111" s="1118" t="s">
        <v>1683</v>
      </c>
      <c r="T111" s="339" t="str">
        <f t="shared" si="19"/>
        <v xml:space="preserve">- rho 1 600 </v>
      </c>
      <c r="U111" s="339" t="str">
        <f t="shared" si="6"/>
        <v>[0,81]</v>
      </c>
      <c r="V111" s="1118" t="s">
        <v>1684</v>
      </c>
    </row>
    <row r="112" spans="2:22" ht="12" hidden="1" customHeight="1">
      <c r="B112" s="1271" t="s">
        <v>1373</v>
      </c>
      <c r="C112" s="1271"/>
      <c r="D112" s="228" t="str">
        <f t="shared" si="21"/>
        <v>2.4.1 Leichtbeton mit nichtporigen Zuschlägen</v>
      </c>
      <c r="E112" s="182"/>
      <c r="F112" s="213" t="s">
        <v>1360</v>
      </c>
      <c r="G112" s="213">
        <v>1.1000000000000001</v>
      </c>
      <c r="H112" s="228" t="str">
        <f t="shared" ref="H112:H113" si="26">H111</f>
        <v xml:space="preserve">3/10 </v>
      </c>
      <c r="O112" s="324" t="str">
        <f t="shared" si="1"/>
        <v/>
      </c>
      <c r="P112" s="324" t="str">
        <f t="shared" si="23"/>
        <v/>
      </c>
      <c r="Q112" s="324" t="str">
        <f t="shared" si="3"/>
        <v>2.4.1 Leichtbeton nichtporig - rho 1 800  [1,1] (mit nichtporigen Zuschlägen)</v>
      </c>
      <c r="R112" s="338">
        <f t="shared" si="4"/>
        <v>1.1000000000000001</v>
      </c>
      <c r="S112" s="1118" t="s">
        <v>1683</v>
      </c>
      <c r="T112" s="339" t="str">
        <f t="shared" si="19"/>
        <v xml:space="preserve">- rho 1 800 </v>
      </c>
      <c r="U112" s="339" t="str">
        <f t="shared" si="6"/>
        <v>[1,1]</v>
      </c>
      <c r="V112" s="1118" t="s">
        <v>1684</v>
      </c>
    </row>
    <row r="113" spans="2:22" hidden="1">
      <c r="B113" s="1271"/>
      <c r="C113" s="1271"/>
      <c r="D113" s="228" t="str">
        <f t="shared" si="21"/>
        <v>2.4.1 Leichtbeton mit nichtporigen Zuschlägen</v>
      </c>
      <c r="E113" s="182"/>
      <c r="F113" s="213" t="s">
        <v>1361</v>
      </c>
      <c r="G113" s="213">
        <v>1.3</v>
      </c>
      <c r="H113" s="228" t="str">
        <f t="shared" si="26"/>
        <v xml:space="preserve">3/10 </v>
      </c>
      <c r="O113" s="324" t="str">
        <f t="shared" si="1"/>
        <v/>
      </c>
      <c r="P113" s="324" t="str">
        <f t="shared" si="23"/>
        <v/>
      </c>
      <c r="Q113" s="324" t="str">
        <f t="shared" si="3"/>
        <v>2.4.1 Leichtbeton nichtporig - rho 2 000  [1,3] (mit nichtporigen Zuschlägen)</v>
      </c>
      <c r="R113" s="338">
        <f t="shared" si="4"/>
        <v>1.3</v>
      </c>
      <c r="S113" s="1118" t="s">
        <v>1683</v>
      </c>
      <c r="T113" s="339" t="str">
        <f t="shared" si="19"/>
        <v xml:space="preserve">- rho 2 000 </v>
      </c>
      <c r="U113" s="339" t="str">
        <f t="shared" si="6"/>
        <v>[1,3]</v>
      </c>
      <c r="V113" s="1118" t="s">
        <v>1684</v>
      </c>
    </row>
    <row r="114" spans="2:22" ht="12" hidden="1" customHeight="1">
      <c r="B114" s="1271"/>
      <c r="C114" s="1271"/>
      <c r="D114" s="182" t="s">
        <v>1392</v>
      </c>
      <c r="E114" s="182"/>
      <c r="F114" s="213" t="s">
        <v>1369</v>
      </c>
      <c r="G114" s="213">
        <v>0.22</v>
      </c>
      <c r="H114" s="213" t="s">
        <v>1375</v>
      </c>
      <c r="I114" s="213" t="s">
        <v>1380</v>
      </c>
      <c r="O114" s="324" t="str">
        <f t="shared" si="1"/>
        <v/>
      </c>
      <c r="P114" s="324" t="str">
        <f t="shared" si="23"/>
        <v/>
      </c>
      <c r="Q114" s="324" t="str">
        <f t="shared" si="3"/>
        <v>2.4.2 Leichtbeton porig - rho 600  [0,22] (mit porigen Zuschlägen)</v>
      </c>
      <c r="R114" s="338">
        <f t="shared" si="4"/>
        <v>0.22</v>
      </c>
      <c r="S114" s="1118" t="s">
        <v>1685</v>
      </c>
      <c r="T114" s="339" t="str">
        <f t="shared" si="19"/>
        <v xml:space="preserve">- rho 600 </v>
      </c>
      <c r="U114" s="339" t="str">
        <f t="shared" si="6"/>
        <v>[0,22]</v>
      </c>
      <c r="V114" s="1118" t="s">
        <v>1686</v>
      </c>
    </row>
    <row r="115" spans="2:22" hidden="1">
      <c r="B115" s="1271"/>
      <c r="C115" s="1271"/>
      <c r="D115" s="228" t="str">
        <f t="shared" si="21"/>
        <v>2.4.2 Leichtbeton mit porigen Zuschlägen ohne Quarzsandzusatze</v>
      </c>
      <c r="E115" s="182"/>
      <c r="F115" s="213" t="s">
        <v>1199</v>
      </c>
      <c r="G115" s="213">
        <v>0.26</v>
      </c>
      <c r="H115" s="228" t="str">
        <f t="shared" ref="H115:H122" si="27">H114</f>
        <v xml:space="preserve">5/15 </v>
      </c>
      <c r="O115" s="324" t="str">
        <f t="shared" si="1"/>
        <v/>
      </c>
      <c r="P115" s="324" t="str">
        <f t="shared" si="23"/>
        <v/>
      </c>
      <c r="Q115" s="324" t="str">
        <f t="shared" si="3"/>
        <v>2.4.2 Leichtbeton porig - rho 700  [0,26] (mit porigen Zuschlägen)</v>
      </c>
      <c r="R115" s="338">
        <f t="shared" si="4"/>
        <v>0.26</v>
      </c>
      <c r="S115" s="1118" t="s">
        <v>1685</v>
      </c>
      <c r="T115" s="339" t="str">
        <f t="shared" si="19"/>
        <v xml:space="preserve">- rho 700 </v>
      </c>
      <c r="U115" s="339" t="str">
        <f t="shared" si="6"/>
        <v>[0,26]</v>
      </c>
      <c r="V115" s="1118" t="s">
        <v>1686</v>
      </c>
    </row>
    <row r="116" spans="2:22" hidden="1">
      <c r="B116" s="1114"/>
      <c r="D116" s="228" t="str">
        <f t="shared" si="21"/>
        <v>2.4.2 Leichtbeton mit porigen Zuschlägen ohne Quarzsandzusatze</v>
      </c>
      <c r="E116" s="182"/>
      <c r="F116" s="213" t="s">
        <v>1353</v>
      </c>
      <c r="G116" s="213">
        <v>0.28000000000000003</v>
      </c>
      <c r="H116" s="228" t="str">
        <f t="shared" si="27"/>
        <v xml:space="preserve">5/15 </v>
      </c>
      <c r="O116" s="324" t="str">
        <f t="shared" si="1"/>
        <v/>
      </c>
      <c r="P116" s="324" t="str">
        <f t="shared" si="23"/>
        <v/>
      </c>
      <c r="Q116" s="324" t="str">
        <f t="shared" si="3"/>
        <v>2.4.2 Leichtbeton porig - rho 800  [0,28] (mit porigen Zuschlägen)</v>
      </c>
      <c r="R116" s="338">
        <f t="shared" si="4"/>
        <v>0.28000000000000003</v>
      </c>
      <c r="S116" s="1118" t="s">
        <v>1685</v>
      </c>
      <c r="T116" s="339" t="str">
        <f t="shared" si="19"/>
        <v xml:space="preserve">- rho 800 </v>
      </c>
      <c r="U116" s="339" t="str">
        <f t="shared" si="6"/>
        <v>[0,28]</v>
      </c>
      <c r="V116" s="1118" t="s">
        <v>1686</v>
      </c>
    </row>
    <row r="117" spans="2:22" hidden="1">
      <c r="B117" s="1114"/>
      <c r="D117" s="228" t="str">
        <f t="shared" si="21"/>
        <v>2.4.2 Leichtbeton mit porigen Zuschlägen ohne Quarzsandzusatze</v>
      </c>
      <c r="E117" s="182"/>
      <c r="F117" s="213" t="s">
        <v>1200</v>
      </c>
      <c r="G117" s="213">
        <v>0.36</v>
      </c>
      <c r="H117" s="228" t="str">
        <f t="shared" si="27"/>
        <v xml:space="preserve">5/15 </v>
      </c>
      <c r="O117" s="324" t="str">
        <f t="shared" si="1"/>
        <v/>
      </c>
      <c r="P117" s="324" t="str">
        <f t="shared" si="23"/>
        <v/>
      </c>
      <c r="Q117" s="324" t="str">
        <f t="shared" si="3"/>
        <v>2.4.2 Leichtbeton porig - rho 1 000  [0,36] (mit porigen Zuschlägen)</v>
      </c>
      <c r="R117" s="338">
        <f t="shared" si="4"/>
        <v>0.36</v>
      </c>
      <c r="S117" s="1118" t="s">
        <v>1685</v>
      </c>
      <c r="T117" s="339" t="str">
        <f t="shared" si="19"/>
        <v xml:space="preserve">- rho 1 000 </v>
      </c>
      <c r="U117" s="339" t="str">
        <f t="shared" si="6"/>
        <v>[0,36]</v>
      </c>
      <c r="V117" s="1118" t="s">
        <v>1686</v>
      </c>
    </row>
    <row r="118" spans="2:22" hidden="1">
      <c r="B118" s="1114"/>
      <c r="D118" s="228" t="str">
        <f t="shared" si="21"/>
        <v>2.4.2 Leichtbeton mit porigen Zuschlägen ohne Quarzsandzusatze</v>
      </c>
      <c r="F118" s="213" t="s">
        <v>1357</v>
      </c>
      <c r="G118" s="213">
        <v>0.46</v>
      </c>
      <c r="H118" s="228" t="str">
        <f t="shared" si="27"/>
        <v xml:space="preserve">5/15 </v>
      </c>
      <c r="O118" s="324" t="str">
        <f t="shared" si="1"/>
        <v/>
      </c>
      <c r="P118" s="324" t="str">
        <f t="shared" si="23"/>
        <v/>
      </c>
      <c r="Q118" s="324" t="str">
        <f t="shared" si="3"/>
        <v>2.4.2 Leichtbeton porig - rho 1 200  [0,46] (mit porigen Zuschlägen)</v>
      </c>
      <c r="R118" s="338">
        <f t="shared" si="4"/>
        <v>0.46</v>
      </c>
      <c r="S118" s="1118" t="s">
        <v>1685</v>
      </c>
      <c r="T118" s="339" t="str">
        <f t="shared" si="19"/>
        <v xml:space="preserve">- rho 1 200 </v>
      </c>
      <c r="U118" s="339" t="str">
        <f t="shared" si="6"/>
        <v>[0,46]</v>
      </c>
      <c r="V118" s="1118" t="s">
        <v>1686</v>
      </c>
    </row>
    <row r="119" spans="2:22" hidden="1">
      <c r="B119" s="1114"/>
      <c r="D119" s="228" t="str">
        <f t="shared" si="21"/>
        <v>2.4.2 Leichtbeton mit porigen Zuschlägen ohne Quarzsandzusatze</v>
      </c>
      <c r="F119" s="213" t="s">
        <v>1350</v>
      </c>
      <c r="G119" s="213">
        <v>0.56999999999999995</v>
      </c>
      <c r="H119" s="228" t="str">
        <f t="shared" si="27"/>
        <v xml:space="preserve">5/15 </v>
      </c>
      <c r="O119" s="324" t="str">
        <f t="shared" si="1"/>
        <v/>
      </c>
      <c r="P119" s="324" t="str">
        <f t="shared" si="23"/>
        <v/>
      </c>
      <c r="Q119" s="324" t="str">
        <f t="shared" si="3"/>
        <v>2.4.2 Leichtbeton porig - rho 1 400  [0,57] (mit porigen Zuschlägen)</v>
      </c>
      <c r="R119" s="338">
        <f t="shared" si="4"/>
        <v>0.56999999999999995</v>
      </c>
      <c r="S119" s="1118" t="s">
        <v>1685</v>
      </c>
      <c r="T119" s="339" t="str">
        <f t="shared" si="19"/>
        <v xml:space="preserve">- rho 1 400 </v>
      </c>
      <c r="U119" s="339" t="str">
        <f t="shared" si="6"/>
        <v>[0,57]</v>
      </c>
      <c r="V119" s="1118" t="s">
        <v>1686</v>
      </c>
    </row>
    <row r="120" spans="2:22" hidden="1">
      <c r="B120" s="1114"/>
      <c r="D120" s="228" t="str">
        <f t="shared" si="21"/>
        <v>2.4.2 Leichtbeton mit porigen Zuschlägen ohne Quarzsandzusatze</v>
      </c>
      <c r="F120" s="213" t="s">
        <v>1359</v>
      </c>
      <c r="G120" s="213">
        <v>0.75</v>
      </c>
      <c r="H120" s="228" t="str">
        <f t="shared" si="27"/>
        <v xml:space="preserve">5/15 </v>
      </c>
      <c r="O120" s="324" t="str">
        <f t="shared" si="1"/>
        <v/>
      </c>
      <c r="P120" s="324" t="str">
        <f t="shared" si="23"/>
        <v/>
      </c>
      <c r="Q120" s="324" t="str">
        <f t="shared" si="3"/>
        <v>2.4.2 Leichtbeton porig - rho 1 600  [0,75] (mit porigen Zuschlägen)</v>
      </c>
      <c r="R120" s="338">
        <f t="shared" si="4"/>
        <v>0.75</v>
      </c>
      <c r="S120" s="1118" t="s">
        <v>1685</v>
      </c>
      <c r="T120" s="339" t="str">
        <f t="shared" si="19"/>
        <v xml:space="preserve">- rho 1 600 </v>
      </c>
      <c r="U120" s="339" t="str">
        <f t="shared" si="6"/>
        <v>[0,75]</v>
      </c>
      <c r="V120" s="1118" t="s">
        <v>1686</v>
      </c>
    </row>
    <row r="121" spans="2:22" hidden="1">
      <c r="B121" s="1114"/>
      <c r="D121" s="228" t="str">
        <f t="shared" si="21"/>
        <v>2.4.2 Leichtbeton mit porigen Zuschlägen ohne Quarzsandzusatze</v>
      </c>
      <c r="F121" s="213" t="s">
        <v>1360</v>
      </c>
      <c r="G121" s="213">
        <v>0.92</v>
      </c>
      <c r="H121" s="228" t="str">
        <f t="shared" si="27"/>
        <v xml:space="preserve">5/15 </v>
      </c>
      <c r="O121" s="324" t="str">
        <f t="shared" si="1"/>
        <v/>
      </c>
      <c r="P121" s="324" t="str">
        <f t="shared" si="23"/>
        <v/>
      </c>
      <c r="Q121" s="324" t="str">
        <f t="shared" si="3"/>
        <v>2.4.2 Leichtbeton porig - rho 1 800  [0,92] (mit porigen Zuschlägen)</v>
      </c>
      <c r="R121" s="338">
        <f t="shared" si="4"/>
        <v>0.92</v>
      </c>
      <c r="S121" s="1118" t="s">
        <v>1685</v>
      </c>
      <c r="T121" s="339" t="str">
        <f t="shared" si="19"/>
        <v xml:space="preserve">- rho 1 800 </v>
      </c>
      <c r="U121" s="339" t="str">
        <f t="shared" si="6"/>
        <v>[0,92]</v>
      </c>
      <c r="V121" s="1118" t="s">
        <v>1686</v>
      </c>
    </row>
    <row r="122" spans="2:22" hidden="1">
      <c r="D122" s="228" t="str">
        <f t="shared" si="21"/>
        <v>2.4.2 Leichtbeton mit porigen Zuschlägen ohne Quarzsandzusatze</v>
      </c>
      <c r="F122" s="213" t="s">
        <v>1361</v>
      </c>
      <c r="G122" s="213">
        <v>1.2</v>
      </c>
      <c r="H122" s="228" t="str">
        <f t="shared" si="27"/>
        <v xml:space="preserve">5/15 </v>
      </c>
      <c r="O122" s="324" t="str">
        <f t="shared" si="1"/>
        <v/>
      </c>
      <c r="P122" s="324" t="str">
        <f t="shared" si="23"/>
        <v/>
      </c>
      <c r="Q122" s="324" t="str">
        <f t="shared" si="3"/>
        <v>2.4.2 Leichtbeton porig - rho 2 000  [1,2] (mit porigen Zuschlägen)</v>
      </c>
      <c r="R122" s="338">
        <f t="shared" si="4"/>
        <v>1.2</v>
      </c>
      <c r="S122" s="1118" t="s">
        <v>1685</v>
      </c>
      <c r="T122" s="339" t="str">
        <f t="shared" si="19"/>
        <v xml:space="preserve">- rho 2 000 </v>
      </c>
      <c r="U122" s="339" t="str">
        <f t="shared" si="6"/>
        <v>[1,2]</v>
      </c>
      <c r="V122" s="1118" t="s">
        <v>1686</v>
      </c>
    </row>
    <row r="123" spans="2:22" ht="12" hidden="1" customHeight="1">
      <c r="D123" s="182" t="s">
        <v>1391</v>
      </c>
      <c r="E123" s="182"/>
      <c r="F123" s="213" t="s">
        <v>1198</v>
      </c>
      <c r="G123" s="213">
        <v>0.12</v>
      </c>
      <c r="H123" s="213" t="s">
        <v>1375</v>
      </c>
      <c r="O123" s="324" t="str">
        <f t="shared" si="1"/>
        <v/>
      </c>
      <c r="P123" s="324" t="str">
        <f t="shared" si="23"/>
        <v/>
      </c>
      <c r="Q123" s="324" t="str">
        <f t="shared" si="3"/>
        <v>2.4.2.1 Leichtbeton Naturbims - rho 400  [0,12] (ausschließlich unter Verwendung von Naturbims)</v>
      </c>
      <c r="R123" s="338">
        <f t="shared" si="4"/>
        <v>0.12</v>
      </c>
      <c r="S123" s="1118" t="s">
        <v>1687</v>
      </c>
      <c r="T123" s="339" t="str">
        <f t="shared" si="19"/>
        <v xml:space="preserve">- rho 400 </v>
      </c>
      <c r="U123" s="339" t="str">
        <f t="shared" si="6"/>
        <v>[0,12]</v>
      </c>
      <c r="V123" s="1118" t="s">
        <v>1688</v>
      </c>
    </row>
    <row r="124" spans="2:22" hidden="1">
      <c r="D124" s="228" t="str">
        <f t="shared" si="21"/>
        <v>2.4.2.1 Leichtbeton ausschließlich unter Verwendung von Naturbims</v>
      </c>
      <c r="E124" s="182"/>
      <c r="F124" s="213" t="s">
        <v>1366</v>
      </c>
      <c r="G124" s="213">
        <v>0.13</v>
      </c>
      <c r="H124" s="228" t="str">
        <f t="shared" ref="H124:H136" si="28">H123</f>
        <v xml:space="preserve">5/15 </v>
      </c>
      <c r="O124" s="324" t="str">
        <f t="shared" ref="O124:O194" si="29">IF(A124&gt;0,A124,"")</f>
        <v/>
      </c>
      <c r="P124" s="324" t="str">
        <f t="shared" ref="P124:P155" si="30">IF(ISERROR(VALUE((LEFT(B124,1))))=FALSE,B124,"")</f>
        <v/>
      </c>
      <c r="Q124" s="324" t="str">
        <f t="shared" ref="Q124:Q194" si="31">IF(S124&gt;0,S124,"")&amp;IF(T124&lt;&gt;""," "&amp;T124,"")&amp;IF(U124&lt;&gt;""," "&amp;U124,"")&amp;IF(V124&lt;&gt;""," "&amp;V124,"")</f>
        <v>2.4.2.1 Leichtbeton Naturbims - rho 450  [0,13] (ausschließlich unter Verwendung von Naturbims)</v>
      </c>
      <c r="R124" s="338">
        <f t="shared" ref="R124:R194" si="32">G124</f>
        <v>0.13</v>
      </c>
      <c r="S124" s="1118" t="s">
        <v>1687</v>
      </c>
      <c r="T124" s="339" t="str">
        <f t="shared" si="19"/>
        <v xml:space="preserve">- rho 450 </v>
      </c>
      <c r="U124" s="339" t="str">
        <f t="shared" ref="U124:U194" si="33">IF(G124&gt;0,"["&amp;G124&amp;"]","")</f>
        <v>[0,13]</v>
      </c>
      <c r="V124" s="1118" t="s">
        <v>1688</v>
      </c>
    </row>
    <row r="125" spans="2:22" hidden="1">
      <c r="D125" s="228" t="str">
        <f t="shared" si="21"/>
        <v>2.4.2.1 Leichtbeton ausschließlich unter Verwendung von Naturbims</v>
      </c>
      <c r="E125" s="182"/>
      <c r="F125" s="213" t="s">
        <v>1367</v>
      </c>
      <c r="G125" s="213">
        <v>0.15</v>
      </c>
      <c r="H125" s="228" t="str">
        <f t="shared" si="28"/>
        <v xml:space="preserve">5/15 </v>
      </c>
      <c r="O125" s="324" t="str">
        <f t="shared" si="29"/>
        <v/>
      </c>
      <c r="P125" s="324" t="str">
        <f t="shared" si="30"/>
        <v/>
      </c>
      <c r="Q125" s="324" t="str">
        <f t="shared" si="31"/>
        <v>2.4.2.1 Leichtbeton Naturbims - rho 500  [0,15] (ausschließlich unter Verwendung von Naturbims)</v>
      </c>
      <c r="R125" s="338">
        <f t="shared" si="32"/>
        <v>0.15</v>
      </c>
      <c r="S125" s="1118" t="s">
        <v>1687</v>
      </c>
      <c r="T125" s="339" t="str">
        <f t="shared" si="19"/>
        <v xml:space="preserve">- rho 500 </v>
      </c>
      <c r="U125" s="339" t="str">
        <f t="shared" si="33"/>
        <v>[0,15]</v>
      </c>
      <c r="V125" s="1118" t="s">
        <v>1688</v>
      </c>
    </row>
    <row r="126" spans="2:22" hidden="1">
      <c r="D126" s="228" t="str">
        <f t="shared" si="21"/>
        <v>2.4.2.1 Leichtbeton ausschließlich unter Verwendung von Naturbims</v>
      </c>
      <c r="F126" s="213" t="s">
        <v>1368</v>
      </c>
      <c r="G126" s="213">
        <v>0.16</v>
      </c>
      <c r="H126" s="228" t="str">
        <f t="shared" si="28"/>
        <v xml:space="preserve">5/15 </v>
      </c>
      <c r="O126" s="324" t="str">
        <f t="shared" si="29"/>
        <v/>
      </c>
      <c r="P126" s="324" t="str">
        <f t="shared" si="30"/>
        <v/>
      </c>
      <c r="Q126" s="324" t="str">
        <f t="shared" si="31"/>
        <v>2.4.2.1 Leichtbeton Naturbims - rho 550  [0,16] (ausschließlich unter Verwendung von Naturbims)</v>
      </c>
      <c r="R126" s="338">
        <f t="shared" si="32"/>
        <v>0.16</v>
      </c>
      <c r="S126" s="1118" t="s">
        <v>1687</v>
      </c>
      <c r="T126" s="339" t="str">
        <f t="shared" si="19"/>
        <v xml:space="preserve">- rho 550 </v>
      </c>
      <c r="U126" s="339" t="str">
        <f t="shared" si="33"/>
        <v>[0,16]</v>
      </c>
      <c r="V126" s="1118" t="s">
        <v>1688</v>
      </c>
    </row>
    <row r="127" spans="2:22" hidden="1">
      <c r="D127" s="228" t="str">
        <f t="shared" si="21"/>
        <v>2.4.2.1 Leichtbeton ausschließlich unter Verwendung von Naturbims</v>
      </c>
      <c r="F127" s="213" t="s">
        <v>1369</v>
      </c>
      <c r="G127" s="213">
        <v>0.18</v>
      </c>
      <c r="H127" s="228" t="str">
        <f t="shared" si="28"/>
        <v xml:space="preserve">5/15 </v>
      </c>
      <c r="O127" s="324" t="str">
        <f t="shared" si="29"/>
        <v/>
      </c>
      <c r="P127" s="324" t="str">
        <f t="shared" si="30"/>
        <v/>
      </c>
      <c r="Q127" s="324" t="str">
        <f t="shared" si="31"/>
        <v>2.4.2.1 Leichtbeton Naturbims - rho 600  [0,18] (ausschließlich unter Verwendung von Naturbims)</v>
      </c>
      <c r="R127" s="338">
        <f t="shared" si="32"/>
        <v>0.18</v>
      </c>
      <c r="S127" s="1118" t="s">
        <v>1687</v>
      </c>
      <c r="T127" s="339" t="str">
        <f t="shared" si="19"/>
        <v xml:space="preserve">- rho 600 </v>
      </c>
      <c r="U127" s="339" t="str">
        <f t="shared" si="33"/>
        <v>[0,18]</v>
      </c>
      <c r="V127" s="1118" t="s">
        <v>1688</v>
      </c>
    </row>
    <row r="128" spans="2:22" hidden="1">
      <c r="D128" s="228" t="str">
        <f t="shared" si="21"/>
        <v>2.4.2.1 Leichtbeton ausschließlich unter Verwendung von Naturbims</v>
      </c>
      <c r="F128" s="213" t="s">
        <v>1370</v>
      </c>
      <c r="G128" s="213">
        <v>0.19</v>
      </c>
      <c r="H128" s="228" t="str">
        <f t="shared" si="28"/>
        <v xml:space="preserve">5/15 </v>
      </c>
      <c r="O128" s="324" t="str">
        <f t="shared" si="29"/>
        <v/>
      </c>
      <c r="P128" s="324" t="str">
        <f t="shared" si="30"/>
        <v/>
      </c>
      <c r="Q128" s="324" t="str">
        <f t="shared" si="31"/>
        <v>2.4.2.1 Leichtbeton Naturbims - rho 650  [0,19] (ausschließlich unter Verwendung von Naturbims)</v>
      </c>
      <c r="R128" s="338">
        <f t="shared" si="32"/>
        <v>0.19</v>
      </c>
      <c r="S128" s="1118" t="s">
        <v>1687</v>
      </c>
      <c r="T128" s="339" t="str">
        <f t="shared" si="19"/>
        <v xml:space="preserve">- rho 650 </v>
      </c>
      <c r="U128" s="339" t="str">
        <f t="shared" si="33"/>
        <v>[0,19]</v>
      </c>
      <c r="V128" s="1118" t="s">
        <v>1688</v>
      </c>
    </row>
    <row r="129" spans="4:22" hidden="1">
      <c r="D129" s="228" t="str">
        <f t="shared" si="21"/>
        <v>2.4.2.1 Leichtbeton ausschließlich unter Verwendung von Naturbims</v>
      </c>
      <c r="F129" s="213" t="s">
        <v>1199</v>
      </c>
      <c r="G129" s="213">
        <v>0.2</v>
      </c>
      <c r="H129" s="228" t="str">
        <f t="shared" si="28"/>
        <v xml:space="preserve">5/15 </v>
      </c>
      <c r="O129" s="324" t="str">
        <f t="shared" si="29"/>
        <v/>
      </c>
      <c r="P129" s="324" t="str">
        <f t="shared" si="30"/>
        <v/>
      </c>
      <c r="Q129" s="324" t="str">
        <f t="shared" si="31"/>
        <v>2.4.2.1 Leichtbeton Naturbims - rho 700  [0,2] (ausschließlich unter Verwendung von Naturbims)</v>
      </c>
      <c r="R129" s="338">
        <f t="shared" si="32"/>
        <v>0.2</v>
      </c>
      <c r="S129" s="1118" t="s">
        <v>1687</v>
      </c>
      <c r="T129" s="339" t="str">
        <f t="shared" si="19"/>
        <v xml:space="preserve">- rho 700 </v>
      </c>
      <c r="U129" s="339" t="str">
        <f t="shared" si="33"/>
        <v>[0,2]</v>
      </c>
      <c r="V129" s="1118" t="s">
        <v>1688</v>
      </c>
    </row>
    <row r="130" spans="4:22" hidden="1">
      <c r="D130" s="228" t="str">
        <f t="shared" si="21"/>
        <v>2.4.2.1 Leichtbeton ausschließlich unter Verwendung von Naturbims</v>
      </c>
      <c r="F130" s="213" t="s">
        <v>1371</v>
      </c>
      <c r="G130" s="213">
        <v>0.22</v>
      </c>
      <c r="H130" s="228" t="str">
        <f t="shared" si="28"/>
        <v xml:space="preserve">5/15 </v>
      </c>
      <c r="O130" s="324" t="str">
        <f t="shared" si="29"/>
        <v/>
      </c>
      <c r="P130" s="324" t="str">
        <f t="shared" si="30"/>
        <v/>
      </c>
      <c r="Q130" s="324" t="str">
        <f t="shared" si="31"/>
        <v>2.4.2.1 Leichtbeton Naturbims - rho 750  [0,22] (ausschließlich unter Verwendung von Naturbims)</v>
      </c>
      <c r="R130" s="338">
        <f t="shared" si="32"/>
        <v>0.22</v>
      </c>
      <c r="S130" s="1118" t="s">
        <v>1687</v>
      </c>
      <c r="T130" s="339" t="str">
        <f t="shared" si="19"/>
        <v xml:space="preserve">- rho 750 </v>
      </c>
      <c r="U130" s="339" t="str">
        <f t="shared" si="33"/>
        <v>[0,22]</v>
      </c>
      <c r="V130" s="1118" t="s">
        <v>1688</v>
      </c>
    </row>
    <row r="131" spans="4:22" hidden="1">
      <c r="D131" s="228" t="str">
        <f t="shared" si="21"/>
        <v>2.4.2.1 Leichtbeton ausschließlich unter Verwendung von Naturbims</v>
      </c>
      <c r="F131" s="213" t="s">
        <v>1353</v>
      </c>
      <c r="G131" s="213">
        <v>0.24</v>
      </c>
      <c r="H131" s="228" t="str">
        <f t="shared" si="28"/>
        <v xml:space="preserve">5/15 </v>
      </c>
      <c r="O131" s="324" t="str">
        <f t="shared" si="29"/>
        <v/>
      </c>
      <c r="P131" s="324" t="str">
        <f t="shared" si="30"/>
        <v/>
      </c>
      <c r="Q131" s="324" t="str">
        <f t="shared" si="31"/>
        <v>2.4.2.1 Leichtbeton Naturbims - rho 800  [0,24] (ausschließlich unter Verwendung von Naturbims)</v>
      </c>
      <c r="R131" s="338">
        <f t="shared" si="32"/>
        <v>0.24</v>
      </c>
      <c r="S131" s="1118" t="s">
        <v>1687</v>
      </c>
      <c r="T131" s="339" t="str">
        <f t="shared" si="19"/>
        <v xml:space="preserve">- rho 800 </v>
      </c>
      <c r="U131" s="339" t="str">
        <f t="shared" si="33"/>
        <v>[0,24]</v>
      </c>
      <c r="V131" s="1118" t="s">
        <v>1688</v>
      </c>
    </row>
    <row r="132" spans="4:22" hidden="1">
      <c r="D132" s="228" t="str">
        <f t="shared" si="21"/>
        <v>2.4.2.1 Leichtbeton ausschließlich unter Verwendung von Naturbims</v>
      </c>
      <c r="F132" s="213" t="s">
        <v>1355</v>
      </c>
      <c r="G132" s="213">
        <v>0.27</v>
      </c>
      <c r="H132" s="228" t="str">
        <f t="shared" si="28"/>
        <v xml:space="preserve">5/15 </v>
      </c>
      <c r="O132" s="324" t="str">
        <f t="shared" si="29"/>
        <v/>
      </c>
      <c r="P132" s="324" t="str">
        <f t="shared" si="30"/>
        <v/>
      </c>
      <c r="Q132" s="324" t="str">
        <f t="shared" si="31"/>
        <v>2.4.2.1 Leichtbeton Naturbims - rho 900  [0,27] (ausschließlich unter Verwendung von Naturbims)</v>
      </c>
      <c r="R132" s="338">
        <f t="shared" si="32"/>
        <v>0.27</v>
      </c>
      <c r="S132" s="1118" t="s">
        <v>1687</v>
      </c>
      <c r="T132" s="339" t="str">
        <f t="shared" si="19"/>
        <v xml:space="preserve">- rho 900 </v>
      </c>
      <c r="U132" s="339" t="str">
        <f t="shared" si="33"/>
        <v>[0,27]</v>
      </c>
      <c r="V132" s="1118" t="s">
        <v>1688</v>
      </c>
    </row>
    <row r="133" spans="4:22" hidden="1">
      <c r="D133" s="228" t="str">
        <f t="shared" si="21"/>
        <v>2.4.2.1 Leichtbeton ausschließlich unter Verwendung von Naturbims</v>
      </c>
      <c r="F133" s="213" t="s">
        <v>1200</v>
      </c>
      <c r="G133" s="213">
        <v>0.32</v>
      </c>
      <c r="H133" s="228" t="str">
        <f t="shared" si="28"/>
        <v xml:space="preserve">5/15 </v>
      </c>
      <c r="O133" s="324" t="str">
        <f t="shared" si="29"/>
        <v/>
      </c>
      <c r="P133" s="324" t="str">
        <f t="shared" si="30"/>
        <v/>
      </c>
      <c r="Q133" s="324" t="str">
        <f t="shared" si="31"/>
        <v>2.4.2.1 Leichtbeton Naturbims - rho 1 000  [0,32] (ausschließlich unter Verwendung von Naturbims)</v>
      </c>
      <c r="R133" s="338">
        <f t="shared" si="32"/>
        <v>0.32</v>
      </c>
      <c r="S133" s="1118" t="s">
        <v>1687</v>
      </c>
      <c r="T133" s="339" t="str">
        <f t="shared" si="19"/>
        <v xml:space="preserve">- rho 1 000 </v>
      </c>
      <c r="U133" s="339" t="str">
        <f t="shared" si="33"/>
        <v>[0,32]</v>
      </c>
      <c r="V133" s="1118" t="s">
        <v>1688</v>
      </c>
    </row>
    <row r="134" spans="4:22" hidden="1">
      <c r="D134" s="228" t="str">
        <f t="shared" si="21"/>
        <v>2.4.2.1 Leichtbeton ausschließlich unter Verwendung von Naturbims</v>
      </c>
      <c r="F134" s="213" t="s">
        <v>1356</v>
      </c>
      <c r="G134" s="213">
        <v>0.37</v>
      </c>
      <c r="H134" s="228" t="str">
        <f t="shared" si="28"/>
        <v xml:space="preserve">5/15 </v>
      </c>
      <c r="O134" s="324" t="str">
        <f t="shared" si="29"/>
        <v/>
      </c>
      <c r="P134" s="324" t="str">
        <f t="shared" si="30"/>
        <v/>
      </c>
      <c r="Q134" s="324" t="str">
        <f t="shared" si="31"/>
        <v>2.4.2.1 Leichtbeton Naturbims - rho 1 100  [0,37] (ausschließlich unter Verwendung von Naturbims)</v>
      </c>
      <c r="R134" s="338">
        <f t="shared" si="32"/>
        <v>0.37</v>
      </c>
      <c r="S134" s="1118" t="s">
        <v>1687</v>
      </c>
      <c r="T134" s="339" t="str">
        <f t="shared" si="19"/>
        <v xml:space="preserve">- rho 1 100 </v>
      </c>
      <c r="U134" s="339" t="str">
        <f t="shared" si="33"/>
        <v>[0,37]</v>
      </c>
      <c r="V134" s="1118" t="s">
        <v>1688</v>
      </c>
    </row>
    <row r="135" spans="4:22" hidden="1">
      <c r="D135" s="228" t="str">
        <f t="shared" si="21"/>
        <v>2.4.2.1 Leichtbeton ausschließlich unter Verwendung von Naturbims</v>
      </c>
      <c r="F135" s="213" t="s">
        <v>1357</v>
      </c>
      <c r="G135" s="213">
        <v>0.41</v>
      </c>
      <c r="H135" s="228" t="str">
        <f t="shared" si="28"/>
        <v xml:space="preserve">5/15 </v>
      </c>
      <c r="O135" s="324" t="str">
        <f t="shared" si="29"/>
        <v/>
      </c>
      <c r="P135" s="324" t="str">
        <f t="shared" si="30"/>
        <v/>
      </c>
      <c r="Q135" s="324" t="str">
        <f t="shared" si="31"/>
        <v>2.4.2.1 Leichtbeton Naturbims - rho 1 200  [0,41] (ausschließlich unter Verwendung von Naturbims)</v>
      </c>
      <c r="R135" s="338">
        <f t="shared" si="32"/>
        <v>0.41</v>
      </c>
      <c r="S135" s="1118" t="s">
        <v>1687</v>
      </c>
      <c r="T135" s="339" t="str">
        <f t="shared" si="19"/>
        <v xml:space="preserve">- rho 1 200 </v>
      </c>
      <c r="U135" s="339" t="str">
        <f t="shared" si="33"/>
        <v>[0,41]</v>
      </c>
      <c r="V135" s="1118" t="s">
        <v>1688</v>
      </c>
    </row>
    <row r="136" spans="4:22" hidden="1">
      <c r="D136" s="228" t="str">
        <f t="shared" si="21"/>
        <v>2.4.2.1 Leichtbeton ausschließlich unter Verwendung von Naturbims</v>
      </c>
      <c r="F136" s="213" t="s">
        <v>1358</v>
      </c>
      <c r="G136" s="213">
        <v>0.47</v>
      </c>
      <c r="H136" s="228" t="str">
        <f t="shared" si="28"/>
        <v xml:space="preserve">5/15 </v>
      </c>
      <c r="O136" s="324" t="str">
        <f t="shared" si="29"/>
        <v/>
      </c>
      <c r="P136" s="324" t="str">
        <f t="shared" si="30"/>
        <v/>
      </c>
      <c r="Q136" s="324" t="str">
        <f t="shared" si="31"/>
        <v>2.4.2.1 Leichtbeton Naturbims - rho 1 300  [0,47] (ausschließlich unter Verwendung von Naturbims)</v>
      </c>
      <c r="R136" s="338">
        <f t="shared" si="32"/>
        <v>0.47</v>
      </c>
      <c r="S136" s="1118" t="s">
        <v>1687</v>
      </c>
      <c r="T136" s="339" t="str">
        <f t="shared" si="19"/>
        <v xml:space="preserve">- rho 1 300 </v>
      </c>
      <c r="U136" s="339" t="str">
        <f t="shared" si="33"/>
        <v>[0,47]</v>
      </c>
      <c r="V136" s="1118" t="s">
        <v>1688</v>
      </c>
    </row>
    <row r="137" spans="4:22" ht="12" hidden="1" customHeight="1">
      <c r="D137" s="182" t="s">
        <v>1390</v>
      </c>
      <c r="E137" s="182"/>
      <c r="F137" s="213" t="s">
        <v>1198</v>
      </c>
      <c r="G137" s="213">
        <v>0.13</v>
      </c>
      <c r="H137" s="213" t="s">
        <v>1375</v>
      </c>
      <c r="O137" s="324" t="str">
        <f t="shared" si="29"/>
        <v/>
      </c>
      <c r="P137" s="324" t="str">
        <f t="shared" si="30"/>
        <v/>
      </c>
      <c r="Q137" s="324" t="str">
        <f t="shared" si="31"/>
        <v>2.4.2.1 Leichtbeton Blähton - rho 400  [0,13] (ausschließlich unter Verwendung von Blähton</v>
      </c>
      <c r="R137" s="338">
        <f t="shared" si="32"/>
        <v>0.13</v>
      </c>
      <c r="S137" s="1118" t="s">
        <v>1689</v>
      </c>
      <c r="T137" s="339" t="str">
        <f t="shared" si="19"/>
        <v xml:space="preserve">- rho 400 </v>
      </c>
      <c r="U137" s="339" t="str">
        <f t="shared" si="33"/>
        <v>[0,13]</v>
      </c>
      <c r="V137" s="1118" t="s">
        <v>1690</v>
      </c>
    </row>
    <row r="138" spans="4:22" hidden="1">
      <c r="D138" s="228" t="str">
        <f t="shared" si="21"/>
        <v>2.4.2.2 Leichtbeton ausschließlich unter Verwendung von Blähton</v>
      </c>
      <c r="E138" s="182"/>
      <c r="F138" s="213" t="s">
        <v>1366</v>
      </c>
      <c r="G138" s="213">
        <v>0.15</v>
      </c>
      <c r="H138" s="228" t="str">
        <f t="shared" ref="H138:H153" si="34">H137</f>
        <v xml:space="preserve">5/15 </v>
      </c>
      <c r="O138" s="324" t="str">
        <f t="shared" si="29"/>
        <v/>
      </c>
      <c r="P138" s="324" t="str">
        <f t="shared" si="30"/>
        <v/>
      </c>
      <c r="Q138" s="324" t="str">
        <f t="shared" si="31"/>
        <v>2.4.2.1 Leichtbeton Blähton - rho 450  [0,15] (ausschließlich unter Verwendung von Blähton</v>
      </c>
      <c r="R138" s="338">
        <f t="shared" si="32"/>
        <v>0.15</v>
      </c>
      <c r="S138" s="1118" t="s">
        <v>1689</v>
      </c>
      <c r="T138" s="339" t="str">
        <f t="shared" si="19"/>
        <v xml:space="preserve">- rho 450 </v>
      </c>
      <c r="U138" s="339" t="str">
        <f t="shared" si="33"/>
        <v>[0,15]</v>
      </c>
      <c r="V138" s="1118" t="s">
        <v>1690</v>
      </c>
    </row>
    <row r="139" spans="4:22" hidden="1">
      <c r="D139" s="228" t="str">
        <f t="shared" si="21"/>
        <v>2.4.2.2 Leichtbeton ausschließlich unter Verwendung von Blähton</v>
      </c>
      <c r="E139" s="182"/>
      <c r="F139" s="213" t="s">
        <v>1367</v>
      </c>
      <c r="G139" s="213">
        <v>0.16</v>
      </c>
      <c r="H139" s="228" t="str">
        <f t="shared" si="34"/>
        <v xml:space="preserve">5/15 </v>
      </c>
      <c r="O139" s="324" t="str">
        <f t="shared" si="29"/>
        <v/>
      </c>
      <c r="P139" s="324" t="str">
        <f t="shared" si="30"/>
        <v/>
      </c>
      <c r="Q139" s="324" t="str">
        <f t="shared" si="31"/>
        <v>2.4.2.1 Leichtbeton Blähton - rho 500  [0,16] (ausschließlich unter Verwendung von Blähton</v>
      </c>
      <c r="R139" s="338">
        <f t="shared" si="32"/>
        <v>0.16</v>
      </c>
      <c r="S139" s="1118" t="s">
        <v>1689</v>
      </c>
      <c r="T139" s="339" t="str">
        <f t="shared" si="19"/>
        <v xml:space="preserve">- rho 500 </v>
      </c>
      <c r="U139" s="339" t="str">
        <f t="shared" si="33"/>
        <v>[0,16]</v>
      </c>
      <c r="V139" s="1118" t="s">
        <v>1690</v>
      </c>
    </row>
    <row r="140" spans="4:22" hidden="1">
      <c r="D140" s="228" t="str">
        <f t="shared" si="21"/>
        <v>2.4.2.2 Leichtbeton ausschließlich unter Verwendung von Blähton</v>
      </c>
      <c r="F140" s="213" t="s">
        <v>1368</v>
      </c>
      <c r="G140" s="213">
        <v>0.18</v>
      </c>
      <c r="H140" s="228" t="str">
        <f t="shared" si="34"/>
        <v xml:space="preserve">5/15 </v>
      </c>
      <c r="O140" s="324" t="str">
        <f t="shared" si="29"/>
        <v/>
      </c>
      <c r="P140" s="324" t="str">
        <f t="shared" si="30"/>
        <v/>
      </c>
      <c r="Q140" s="324" t="str">
        <f t="shared" si="31"/>
        <v>2.4.2.1 Leichtbeton Blähton - rho 550  [0,18] (ausschließlich unter Verwendung von Blähton</v>
      </c>
      <c r="R140" s="338">
        <f t="shared" si="32"/>
        <v>0.18</v>
      </c>
      <c r="S140" s="1118" t="s">
        <v>1689</v>
      </c>
      <c r="T140" s="339" t="str">
        <f t="shared" si="19"/>
        <v xml:space="preserve">- rho 550 </v>
      </c>
      <c r="U140" s="339" t="str">
        <f t="shared" si="33"/>
        <v>[0,18]</v>
      </c>
      <c r="V140" s="1118" t="s">
        <v>1690</v>
      </c>
    </row>
    <row r="141" spans="4:22" hidden="1">
      <c r="D141" s="228" t="str">
        <f t="shared" si="21"/>
        <v>2.4.2.2 Leichtbeton ausschließlich unter Verwendung von Blähton</v>
      </c>
      <c r="F141" s="213" t="s">
        <v>1369</v>
      </c>
      <c r="G141" s="213">
        <v>0.19</v>
      </c>
      <c r="H141" s="228" t="str">
        <f t="shared" si="34"/>
        <v xml:space="preserve">5/15 </v>
      </c>
      <c r="O141" s="324" t="str">
        <f t="shared" si="29"/>
        <v/>
      </c>
      <c r="P141" s="324" t="str">
        <f t="shared" si="30"/>
        <v/>
      </c>
      <c r="Q141" s="324" t="str">
        <f t="shared" si="31"/>
        <v>2.4.2.1 Leichtbeton Blähton - rho 600  [0,19] (ausschließlich unter Verwendung von Blähton</v>
      </c>
      <c r="R141" s="338">
        <f t="shared" si="32"/>
        <v>0.19</v>
      </c>
      <c r="S141" s="1118" t="s">
        <v>1689</v>
      </c>
      <c r="T141" s="339" t="str">
        <f t="shared" si="19"/>
        <v xml:space="preserve">- rho 600 </v>
      </c>
      <c r="U141" s="339" t="str">
        <f t="shared" si="33"/>
        <v>[0,19]</v>
      </c>
      <c r="V141" s="1118" t="s">
        <v>1690</v>
      </c>
    </row>
    <row r="142" spans="4:22" hidden="1">
      <c r="D142" s="228" t="str">
        <f t="shared" si="21"/>
        <v>2.4.2.2 Leichtbeton ausschließlich unter Verwendung von Blähton</v>
      </c>
      <c r="F142" s="213" t="s">
        <v>1370</v>
      </c>
      <c r="G142" s="213">
        <v>0.21</v>
      </c>
      <c r="H142" s="228" t="str">
        <f t="shared" si="34"/>
        <v xml:space="preserve">5/15 </v>
      </c>
      <c r="O142" s="324" t="str">
        <f t="shared" si="29"/>
        <v/>
      </c>
      <c r="P142" s="324" t="str">
        <f t="shared" si="30"/>
        <v/>
      </c>
      <c r="Q142" s="324" t="str">
        <f t="shared" si="31"/>
        <v>2.4.2.1 Leichtbeton Blähton - rho 650  [0,21] (ausschließlich unter Verwendung von Blähton</v>
      </c>
      <c r="R142" s="338">
        <f t="shared" si="32"/>
        <v>0.21</v>
      </c>
      <c r="S142" s="1118" t="s">
        <v>1689</v>
      </c>
      <c r="T142" s="339" t="str">
        <f t="shared" si="19"/>
        <v xml:space="preserve">- rho 650 </v>
      </c>
      <c r="U142" s="339" t="str">
        <f t="shared" si="33"/>
        <v>[0,21]</v>
      </c>
      <c r="V142" s="1118" t="s">
        <v>1690</v>
      </c>
    </row>
    <row r="143" spans="4:22" hidden="1">
      <c r="D143" s="228" t="str">
        <f t="shared" si="21"/>
        <v>2.4.2.2 Leichtbeton ausschließlich unter Verwendung von Blähton</v>
      </c>
      <c r="F143" s="213" t="s">
        <v>1199</v>
      </c>
      <c r="G143" s="213">
        <v>0.23</v>
      </c>
      <c r="H143" s="228" t="str">
        <f t="shared" si="34"/>
        <v xml:space="preserve">5/15 </v>
      </c>
      <c r="O143" s="324" t="str">
        <f t="shared" si="29"/>
        <v/>
      </c>
      <c r="P143" s="324" t="str">
        <f t="shared" si="30"/>
        <v/>
      </c>
      <c r="Q143" s="324" t="str">
        <f t="shared" si="31"/>
        <v>2.4.2.1 Leichtbeton Blähton - rho 700  [0,23] (ausschließlich unter Verwendung von Blähton</v>
      </c>
      <c r="R143" s="338">
        <f t="shared" si="32"/>
        <v>0.23</v>
      </c>
      <c r="S143" s="1118" t="s">
        <v>1689</v>
      </c>
      <c r="T143" s="339" t="str">
        <f t="shared" si="19"/>
        <v xml:space="preserve">- rho 700 </v>
      </c>
      <c r="U143" s="339" t="str">
        <f t="shared" si="33"/>
        <v>[0,23]</v>
      </c>
      <c r="V143" s="1118" t="s">
        <v>1690</v>
      </c>
    </row>
    <row r="144" spans="4:22" hidden="1">
      <c r="D144" s="228" t="str">
        <f t="shared" si="21"/>
        <v>2.4.2.2 Leichtbeton ausschließlich unter Verwendung von Blähton</v>
      </c>
      <c r="F144" s="213" t="s">
        <v>1353</v>
      </c>
      <c r="G144" s="213">
        <v>0.26</v>
      </c>
      <c r="H144" s="228" t="str">
        <f t="shared" si="34"/>
        <v xml:space="preserve">5/15 </v>
      </c>
      <c r="O144" s="324" t="str">
        <f t="shared" si="29"/>
        <v/>
      </c>
      <c r="P144" s="324" t="str">
        <f t="shared" si="30"/>
        <v/>
      </c>
      <c r="Q144" s="324" t="str">
        <f t="shared" si="31"/>
        <v>2.4.2.1 Leichtbeton Blähton - rho 800  [0,26] (ausschließlich unter Verwendung von Blähton</v>
      </c>
      <c r="R144" s="338">
        <f t="shared" si="32"/>
        <v>0.26</v>
      </c>
      <c r="S144" s="1118" t="s">
        <v>1689</v>
      </c>
      <c r="T144" s="339" t="str">
        <f t="shared" si="19"/>
        <v xml:space="preserve">- rho 800 </v>
      </c>
      <c r="U144" s="339" t="str">
        <f t="shared" si="33"/>
        <v>[0,26]</v>
      </c>
      <c r="V144" s="1118" t="s">
        <v>1690</v>
      </c>
    </row>
    <row r="145" spans="1:22" hidden="1">
      <c r="D145" s="228" t="str">
        <f t="shared" si="21"/>
        <v>2.4.2.2 Leichtbeton ausschließlich unter Verwendung von Blähton</v>
      </c>
      <c r="F145" s="213" t="s">
        <v>1355</v>
      </c>
      <c r="G145" s="213">
        <v>0.3</v>
      </c>
      <c r="H145" s="228" t="str">
        <f t="shared" si="34"/>
        <v xml:space="preserve">5/15 </v>
      </c>
      <c r="O145" s="324" t="str">
        <f t="shared" si="29"/>
        <v/>
      </c>
      <c r="P145" s="324" t="str">
        <f t="shared" si="30"/>
        <v/>
      </c>
      <c r="Q145" s="324" t="str">
        <f t="shared" si="31"/>
        <v>2.4.2.1 Leichtbeton Blähton - rho 900  [0,3] (ausschließlich unter Verwendung von Blähton</v>
      </c>
      <c r="R145" s="338">
        <f t="shared" si="32"/>
        <v>0.3</v>
      </c>
      <c r="S145" s="1118" t="s">
        <v>1689</v>
      </c>
      <c r="T145" s="339" t="str">
        <f t="shared" si="19"/>
        <v xml:space="preserve">- rho 900 </v>
      </c>
      <c r="U145" s="339" t="str">
        <f t="shared" si="33"/>
        <v>[0,3]</v>
      </c>
      <c r="V145" s="1118" t="s">
        <v>1690</v>
      </c>
    </row>
    <row r="146" spans="1:22" hidden="1">
      <c r="D146" s="228" t="str">
        <f t="shared" si="21"/>
        <v>2.4.2.2 Leichtbeton ausschließlich unter Verwendung von Blähton</v>
      </c>
      <c r="F146" s="213" t="s">
        <v>1200</v>
      </c>
      <c r="G146" s="213">
        <v>0.35</v>
      </c>
      <c r="H146" s="228" t="str">
        <f t="shared" si="34"/>
        <v xml:space="preserve">5/15 </v>
      </c>
      <c r="O146" s="324" t="str">
        <f t="shared" si="29"/>
        <v/>
      </c>
      <c r="P146" s="324" t="str">
        <f t="shared" si="30"/>
        <v/>
      </c>
      <c r="Q146" s="324" t="str">
        <f t="shared" si="31"/>
        <v>2.4.2.1 Leichtbeton Blähton - rho 1 000  [0,35] (ausschließlich unter Verwendung von Blähton</v>
      </c>
      <c r="R146" s="338">
        <f t="shared" si="32"/>
        <v>0.35</v>
      </c>
      <c r="S146" s="1118" t="s">
        <v>1689</v>
      </c>
      <c r="T146" s="339" t="str">
        <f t="shared" si="19"/>
        <v xml:space="preserve">- rho 1 000 </v>
      </c>
      <c r="U146" s="339" t="str">
        <f t="shared" si="33"/>
        <v>[0,35]</v>
      </c>
      <c r="V146" s="1118" t="s">
        <v>1690</v>
      </c>
    </row>
    <row r="147" spans="1:22" hidden="1">
      <c r="D147" s="228" t="str">
        <f t="shared" si="21"/>
        <v>2.4.2.2 Leichtbeton ausschließlich unter Verwendung von Blähton</v>
      </c>
      <c r="F147" s="213" t="s">
        <v>1356</v>
      </c>
      <c r="G147" s="213">
        <v>0.39</v>
      </c>
      <c r="H147" s="228" t="str">
        <f t="shared" si="34"/>
        <v xml:space="preserve">5/15 </v>
      </c>
      <c r="O147" s="324" t="str">
        <f t="shared" si="29"/>
        <v/>
      </c>
      <c r="P147" s="324" t="str">
        <f t="shared" si="30"/>
        <v/>
      </c>
      <c r="Q147" s="324" t="str">
        <f t="shared" si="31"/>
        <v>2.4.2.1 Leichtbeton Blähton - rho 1 100  [0,39] (ausschließlich unter Verwendung von Blähton</v>
      </c>
      <c r="R147" s="338">
        <f t="shared" si="32"/>
        <v>0.39</v>
      </c>
      <c r="S147" s="1118" t="s">
        <v>1689</v>
      </c>
      <c r="T147" s="339" t="str">
        <f t="shared" si="19"/>
        <v xml:space="preserve">- rho 1 100 </v>
      </c>
      <c r="U147" s="339" t="str">
        <f t="shared" si="33"/>
        <v>[0,39]</v>
      </c>
      <c r="V147" s="1118" t="s">
        <v>1690</v>
      </c>
    </row>
    <row r="148" spans="1:22" hidden="1">
      <c r="D148" s="228" t="str">
        <f t="shared" si="21"/>
        <v>2.4.2.2 Leichtbeton ausschließlich unter Verwendung von Blähton</v>
      </c>
      <c r="F148" s="213" t="s">
        <v>1357</v>
      </c>
      <c r="G148" s="213">
        <v>0.44</v>
      </c>
      <c r="H148" s="228" t="str">
        <f t="shared" si="34"/>
        <v xml:space="preserve">5/15 </v>
      </c>
      <c r="O148" s="324" t="str">
        <f t="shared" si="29"/>
        <v/>
      </c>
      <c r="P148" s="324" t="str">
        <f t="shared" si="30"/>
        <v/>
      </c>
      <c r="Q148" s="324" t="str">
        <f t="shared" si="31"/>
        <v>2.4.2.1 Leichtbeton Blähton - rho 1 200  [0,44] (ausschließlich unter Verwendung von Blähton</v>
      </c>
      <c r="R148" s="338">
        <f t="shared" si="32"/>
        <v>0.44</v>
      </c>
      <c r="S148" s="1118" t="s">
        <v>1689</v>
      </c>
      <c r="T148" s="339" t="str">
        <f t="shared" si="19"/>
        <v xml:space="preserve">- rho 1 200 </v>
      </c>
      <c r="U148" s="339" t="str">
        <f t="shared" si="33"/>
        <v>[0,44]</v>
      </c>
      <c r="V148" s="1118" t="s">
        <v>1690</v>
      </c>
    </row>
    <row r="149" spans="1:22" hidden="1">
      <c r="D149" s="228" t="str">
        <f t="shared" si="21"/>
        <v>2.4.2.2 Leichtbeton ausschließlich unter Verwendung von Blähton</v>
      </c>
      <c r="F149" s="213" t="s">
        <v>1358</v>
      </c>
      <c r="G149" s="213">
        <v>0.5</v>
      </c>
      <c r="H149" s="228" t="str">
        <f t="shared" si="34"/>
        <v xml:space="preserve">5/15 </v>
      </c>
      <c r="O149" s="324" t="str">
        <f t="shared" si="29"/>
        <v/>
      </c>
      <c r="P149" s="324" t="str">
        <f t="shared" si="30"/>
        <v/>
      </c>
      <c r="Q149" s="324" t="str">
        <f t="shared" si="31"/>
        <v>2.4.2.1 Leichtbeton Blähton - rho 1 300  [0,5] (ausschließlich unter Verwendung von Blähton</v>
      </c>
      <c r="R149" s="338">
        <f t="shared" si="32"/>
        <v>0.5</v>
      </c>
      <c r="S149" s="1118" t="s">
        <v>1689</v>
      </c>
      <c r="T149" s="339" t="str">
        <f t="shared" si="19"/>
        <v xml:space="preserve">- rho 1 300 </v>
      </c>
      <c r="U149" s="339" t="str">
        <f t="shared" si="33"/>
        <v>[0,5]</v>
      </c>
      <c r="V149" s="1118" t="s">
        <v>1690</v>
      </c>
    </row>
    <row r="150" spans="1:22" hidden="1">
      <c r="D150" s="228" t="str">
        <f t="shared" si="21"/>
        <v>2.4.2.2 Leichtbeton ausschließlich unter Verwendung von Blähton</v>
      </c>
      <c r="F150" s="213" t="s">
        <v>1350</v>
      </c>
      <c r="G150" s="213">
        <v>0.55000000000000004</v>
      </c>
      <c r="H150" s="228" t="str">
        <f t="shared" si="34"/>
        <v xml:space="preserve">5/15 </v>
      </c>
      <c r="O150" s="324" t="str">
        <f t="shared" si="29"/>
        <v/>
      </c>
      <c r="P150" s="324" t="str">
        <f t="shared" si="30"/>
        <v/>
      </c>
      <c r="Q150" s="324" t="str">
        <f t="shared" si="31"/>
        <v>2.4.2.1 Leichtbeton Blähton - rho 1 400  [0,55] (ausschließlich unter Verwendung von Blähton</v>
      </c>
      <c r="R150" s="338">
        <f t="shared" si="32"/>
        <v>0.55000000000000004</v>
      </c>
      <c r="S150" s="1118" t="s">
        <v>1689</v>
      </c>
      <c r="T150" s="339" t="str">
        <f t="shared" si="19"/>
        <v xml:space="preserve">- rho 1 400 </v>
      </c>
      <c r="U150" s="339" t="str">
        <f t="shared" si="33"/>
        <v>[0,55]</v>
      </c>
      <c r="V150" s="1118" t="s">
        <v>1690</v>
      </c>
    </row>
    <row r="151" spans="1:22" hidden="1">
      <c r="D151" s="228" t="str">
        <f t="shared" si="21"/>
        <v>2.4.2.2 Leichtbeton ausschließlich unter Verwendung von Blähton</v>
      </c>
      <c r="F151" s="213" t="s">
        <v>1201</v>
      </c>
      <c r="G151" s="213">
        <v>0.6</v>
      </c>
      <c r="H151" s="228" t="str">
        <f t="shared" si="34"/>
        <v xml:space="preserve">5/15 </v>
      </c>
      <c r="O151" s="324" t="str">
        <f t="shared" si="29"/>
        <v/>
      </c>
      <c r="P151" s="324" t="str">
        <f t="shared" si="30"/>
        <v/>
      </c>
      <c r="Q151" s="324" t="str">
        <f t="shared" si="31"/>
        <v>2.4.2.1 Leichtbeton Blähton - rho 1 500  [0,6] (ausschließlich unter Verwendung von Blähton</v>
      </c>
      <c r="R151" s="338">
        <f t="shared" si="32"/>
        <v>0.6</v>
      </c>
      <c r="S151" s="1118" t="s">
        <v>1689</v>
      </c>
      <c r="T151" s="339" t="str">
        <f t="shared" si="19"/>
        <v xml:space="preserve">- rho 1 500 </v>
      </c>
      <c r="U151" s="339" t="str">
        <f t="shared" si="33"/>
        <v>[0,6]</v>
      </c>
      <c r="V151" s="1118" t="s">
        <v>1690</v>
      </c>
    </row>
    <row r="152" spans="1:22" hidden="1">
      <c r="D152" s="228" t="str">
        <f t="shared" si="21"/>
        <v>2.4.2.2 Leichtbeton ausschließlich unter Verwendung von Blähton</v>
      </c>
      <c r="F152" s="213" t="s">
        <v>1359</v>
      </c>
      <c r="G152" s="213">
        <v>0.68</v>
      </c>
      <c r="H152" s="228" t="str">
        <f t="shared" si="34"/>
        <v xml:space="preserve">5/15 </v>
      </c>
      <c r="O152" s="324" t="str">
        <f t="shared" si="29"/>
        <v/>
      </c>
      <c r="P152" s="324" t="str">
        <f t="shared" si="30"/>
        <v/>
      </c>
      <c r="Q152" s="324" t="str">
        <f t="shared" si="31"/>
        <v>2.4.2.1 Leichtbeton Blähton - rho 1 600  [0,68] (ausschließlich unter Verwendung von Blähton</v>
      </c>
      <c r="R152" s="338">
        <f t="shared" si="32"/>
        <v>0.68</v>
      </c>
      <c r="S152" s="1118" t="s">
        <v>1689</v>
      </c>
      <c r="T152" s="339" t="str">
        <f t="shared" ref="T152:T222" si="35" xml:space="preserve"> "- rho "&amp;F152</f>
        <v xml:space="preserve">- rho 1 600 </v>
      </c>
      <c r="U152" s="339" t="str">
        <f t="shared" si="33"/>
        <v>[0,68]</v>
      </c>
      <c r="V152" s="1118" t="s">
        <v>1690</v>
      </c>
    </row>
    <row r="153" spans="1:22" hidden="1">
      <c r="D153" s="228" t="str">
        <f t="shared" si="21"/>
        <v>2.4.2.2 Leichtbeton ausschließlich unter Verwendung von Blähton</v>
      </c>
      <c r="F153" s="213" t="s">
        <v>3448</v>
      </c>
      <c r="G153" s="213">
        <v>0.76</v>
      </c>
      <c r="H153" s="228" t="str">
        <f t="shared" si="34"/>
        <v xml:space="preserve">5/15 </v>
      </c>
      <c r="O153" s="324" t="str">
        <f t="shared" si="29"/>
        <v/>
      </c>
      <c r="P153" s="324" t="str">
        <f t="shared" si="30"/>
        <v/>
      </c>
      <c r="Q153" s="324" t="str">
        <f t="shared" si="31"/>
        <v>2.4.2.1 Leichtbeton Blähton - rho 1 700  [0,76] (ausschließlich unter Verwendung von Blähton</v>
      </c>
      <c r="R153" s="338">
        <f t="shared" si="32"/>
        <v>0.76</v>
      </c>
      <c r="S153" s="1118" t="s">
        <v>1689</v>
      </c>
      <c r="T153" s="339" t="str">
        <f t="shared" si="35"/>
        <v xml:space="preserve">- rho 1 700 </v>
      </c>
      <c r="U153" s="339" t="str">
        <f t="shared" si="33"/>
        <v>[0,76]</v>
      </c>
      <c r="V153" s="1118" t="s">
        <v>1690</v>
      </c>
    </row>
    <row r="154" spans="1:22" hidden="1">
      <c r="A154" s="214" t="s">
        <v>2420</v>
      </c>
      <c r="B154" s="213" t="s">
        <v>1384</v>
      </c>
      <c r="D154" s="213" t="s">
        <v>1382</v>
      </c>
      <c r="F154" s="213" t="s">
        <v>1198</v>
      </c>
      <c r="G154" s="213">
        <v>0.2</v>
      </c>
      <c r="H154" s="213" t="s">
        <v>1365</v>
      </c>
      <c r="O154" s="324" t="str">
        <f t="shared" si="29"/>
        <v>3 Bauplatten</v>
      </c>
      <c r="P154" s="324" t="str">
        <f t="shared" si="30"/>
        <v>3.1 Porenbeton</v>
      </c>
      <c r="Q154" s="324" t="str">
        <f t="shared" si="31"/>
        <v>3.1.1 Porenbeton-Bauplatten - rho 400  [0,2] (Ppl, mit normaler Fugendicke)</v>
      </c>
      <c r="R154" s="338">
        <f t="shared" si="32"/>
        <v>0.2</v>
      </c>
      <c r="S154" s="1118" t="s">
        <v>1692</v>
      </c>
      <c r="T154" s="339" t="str">
        <f t="shared" si="35"/>
        <v xml:space="preserve">- rho 400 </v>
      </c>
      <c r="U154" s="339" t="str">
        <f t="shared" si="33"/>
        <v>[0,2]</v>
      </c>
      <c r="V154" s="1118" t="s">
        <v>1691</v>
      </c>
    </row>
    <row r="155" spans="1:22" ht="12" hidden="1" customHeight="1">
      <c r="B155" s="1271" t="s">
        <v>1381</v>
      </c>
      <c r="C155" s="1271"/>
      <c r="D155" s="228" t="str">
        <f t="shared" si="21"/>
        <v>3.1.1 Porenbeton-Bauplatten (Ppl) mit normaler Fugendicke</v>
      </c>
      <c r="F155" s="213" t="s">
        <v>1367</v>
      </c>
      <c r="G155" s="213">
        <v>0.22</v>
      </c>
      <c r="H155" s="228" t="str">
        <f t="shared" ref="H155:H158" si="36">H154</f>
        <v xml:space="preserve">5/10 </v>
      </c>
      <c r="O155" s="324" t="str">
        <f t="shared" si="29"/>
        <v/>
      </c>
      <c r="P155" s="324" t="str">
        <f t="shared" si="30"/>
        <v/>
      </c>
      <c r="Q155" s="324" t="str">
        <f t="shared" si="31"/>
        <v>3.1.1 Porenbeton-Bauplatten - rho 500  [0,22] (Ppl, mit normaler Fugendicke)</v>
      </c>
      <c r="R155" s="338">
        <f t="shared" si="32"/>
        <v>0.22</v>
      </c>
      <c r="S155" s="1118" t="s">
        <v>1692</v>
      </c>
      <c r="T155" s="339" t="str">
        <f t="shared" si="35"/>
        <v xml:space="preserve">- rho 500 </v>
      </c>
      <c r="U155" s="339" t="str">
        <f t="shared" si="33"/>
        <v>[0,22]</v>
      </c>
      <c r="V155" s="1118" t="s">
        <v>1691</v>
      </c>
    </row>
    <row r="156" spans="1:22" hidden="1">
      <c r="B156" s="1271"/>
      <c r="C156" s="1271"/>
      <c r="D156" s="228" t="str">
        <f>D155</f>
        <v>3.1.1 Porenbeton-Bauplatten (Ppl) mit normaler Fugendicke</v>
      </c>
      <c r="F156" s="213" t="s">
        <v>1369</v>
      </c>
      <c r="G156" s="213">
        <v>0.24</v>
      </c>
      <c r="H156" s="228" t="str">
        <f t="shared" si="36"/>
        <v xml:space="preserve">5/10 </v>
      </c>
      <c r="O156" s="324" t="str">
        <f t="shared" si="29"/>
        <v/>
      </c>
      <c r="P156" s="324" t="str">
        <f t="shared" ref="P156:P190" si="37">IF(ISERROR(VALUE((LEFT(B156,1))))=FALSE,B156,"")</f>
        <v/>
      </c>
      <c r="Q156" s="324" t="str">
        <f t="shared" si="31"/>
        <v>3.1.1 Porenbeton-Bauplatten - rho 600  [0,24] (Ppl, mit normaler Fugendicke)</v>
      </c>
      <c r="R156" s="338">
        <f t="shared" si="32"/>
        <v>0.24</v>
      </c>
      <c r="S156" s="1118" t="s">
        <v>1692</v>
      </c>
      <c r="T156" s="339" t="str">
        <f t="shared" si="35"/>
        <v xml:space="preserve">- rho 600 </v>
      </c>
      <c r="U156" s="339" t="str">
        <f t="shared" si="33"/>
        <v>[0,24]</v>
      </c>
      <c r="V156" s="1118" t="s">
        <v>1691</v>
      </c>
    </row>
    <row r="157" spans="1:22" hidden="1">
      <c r="B157" s="1271"/>
      <c r="C157" s="1271"/>
      <c r="D157" s="228" t="str">
        <f>D156</f>
        <v>3.1.1 Porenbeton-Bauplatten (Ppl) mit normaler Fugendicke</v>
      </c>
      <c r="F157" s="213" t="s">
        <v>1199</v>
      </c>
      <c r="G157" s="213">
        <v>0.27</v>
      </c>
      <c r="H157" s="228" t="str">
        <f t="shared" si="36"/>
        <v xml:space="preserve">5/10 </v>
      </c>
      <c r="O157" s="324" t="str">
        <f t="shared" si="29"/>
        <v/>
      </c>
      <c r="P157" s="324" t="str">
        <f t="shared" si="37"/>
        <v/>
      </c>
      <c r="Q157" s="324" t="str">
        <f t="shared" si="31"/>
        <v>3.1.1 Porenbeton-Bauplatten - rho 700  [0,27] (Ppl, mit normaler Fugendicke)</v>
      </c>
      <c r="R157" s="338">
        <f t="shared" si="32"/>
        <v>0.27</v>
      </c>
      <c r="S157" s="1118" t="s">
        <v>1692</v>
      </c>
      <c r="T157" s="339" t="str">
        <f t="shared" si="35"/>
        <v xml:space="preserve">- rho 700 </v>
      </c>
      <c r="U157" s="339" t="str">
        <f t="shared" si="33"/>
        <v>[0,27]</v>
      </c>
      <c r="V157" s="1118" t="s">
        <v>1691</v>
      </c>
    </row>
    <row r="158" spans="1:22" hidden="1">
      <c r="B158" s="1271"/>
      <c r="C158" s="1271"/>
      <c r="D158" s="228" t="str">
        <f>D157</f>
        <v>3.1.1 Porenbeton-Bauplatten (Ppl) mit normaler Fugendicke</v>
      </c>
      <c r="F158" s="213" t="s">
        <v>1353</v>
      </c>
      <c r="G158" s="213">
        <v>0.28999999999999998</v>
      </c>
      <c r="H158" s="228" t="str">
        <f t="shared" si="36"/>
        <v xml:space="preserve">5/10 </v>
      </c>
      <c r="O158" s="324" t="str">
        <f t="shared" si="29"/>
        <v/>
      </c>
      <c r="P158" s="324" t="str">
        <f t="shared" si="37"/>
        <v/>
      </c>
      <c r="Q158" s="324" t="str">
        <f t="shared" si="31"/>
        <v>3.1.1 Porenbeton-Bauplatten - rho 800  [0,29] (Ppl, mit normaler Fugendicke)</v>
      </c>
      <c r="R158" s="338">
        <f t="shared" si="32"/>
        <v>0.28999999999999998</v>
      </c>
      <c r="S158" s="1118" t="s">
        <v>1692</v>
      </c>
      <c r="T158" s="339" t="str">
        <f t="shared" si="35"/>
        <v xml:space="preserve">- rho 800 </v>
      </c>
      <c r="U158" s="339" t="str">
        <f t="shared" si="33"/>
        <v>[0,29]</v>
      </c>
      <c r="V158" s="1118" t="s">
        <v>1691</v>
      </c>
    </row>
    <row r="159" spans="1:22" hidden="1">
      <c r="B159" s="1114"/>
      <c r="D159" s="213" t="s">
        <v>1389</v>
      </c>
      <c r="F159" s="213" t="s">
        <v>1364</v>
      </c>
      <c r="G159" s="213">
        <v>0.11</v>
      </c>
      <c r="H159" s="213" t="s">
        <v>1365</v>
      </c>
      <c r="O159" s="324" t="str">
        <f t="shared" si="29"/>
        <v/>
      </c>
      <c r="P159" s="324" t="str">
        <f t="shared" si="37"/>
        <v/>
      </c>
      <c r="Q159" s="324" t="str">
        <f t="shared" si="31"/>
        <v>3.1.2 Porenbeton-Planbauplatten - rho 350  [0,11] (Pppl, dünnfugig verlegt)</v>
      </c>
      <c r="R159" s="338">
        <f t="shared" si="32"/>
        <v>0.11</v>
      </c>
      <c r="S159" s="1118" t="s">
        <v>1693</v>
      </c>
      <c r="T159" s="339" t="str">
        <f t="shared" si="35"/>
        <v xml:space="preserve">- rho 350 </v>
      </c>
      <c r="U159" s="339" t="str">
        <f t="shared" si="33"/>
        <v>[0,11]</v>
      </c>
      <c r="V159" s="1118" t="s">
        <v>1694</v>
      </c>
    </row>
    <row r="160" spans="1:22" hidden="1">
      <c r="B160" s="1114"/>
      <c r="D160" s="228" t="str">
        <f t="shared" ref="D160:D168" si="38">D159</f>
        <v>3.1.2 Porenbeton-Planbauplatten (Pppl), dünnfugig verlegt</v>
      </c>
      <c r="F160" s="213" t="s">
        <v>1198</v>
      </c>
      <c r="G160" s="213">
        <v>0.13</v>
      </c>
      <c r="H160" s="228" t="str">
        <f t="shared" ref="H160:H168" si="39">H159</f>
        <v xml:space="preserve">5/10 </v>
      </c>
      <c r="O160" s="324" t="str">
        <f t="shared" si="29"/>
        <v/>
      </c>
      <c r="P160" s="324" t="str">
        <f t="shared" si="37"/>
        <v/>
      </c>
      <c r="Q160" s="324" t="str">
        <f t="shared" si="31"/>
        <v>3.1.2 Porenbeton-Planbauplatten - rho 400  [0,13] (Pppl, dünnfugig verlegt)</v>
      </c>
      <c r="R160" s="338">
        <f t="shared" si="32"/>
        <v>0.13</v>
      </c>
      <c r="S160" s="1118" t="s">
        <v>1693</v>
      </c>
      <c r="T160" s="339" t="str">
        <f t="shared" si="35"/>
        <v xml:space="preserve">- rho 400 </v>
      </c>
      <c r="U160" s="339" t="str">
        <f t="shared" si="33"/>
        <v>[0,13]</v>
      </c>
      <c r="V160" s="1118" t="s">
        <v>1694</v>
      </c>
    </row>
    <row r="161" spans="2:22" hidden="1">
      <c r="B161" s="1114"/>
      <c r="D161" s="228" t="str">
        <f t="shared" si="38"/>
        <v>3.1.2 Porenbeton-Planbauplatten (Pppl), dünnfugig verlegt</v>
      </c>
      <c r="F161" s="213" t="s">
        <v>1366</v>
      </c>
      <c r="G161" s="213">
        <v>0.15</v>
      </c>
      <c r="H161" s="228" t="str">
        <f t="shared" si="39"/>
        <v xml:space="preserve">5/10 </v>
      </c>
      <c r="O161" s="324" t="str">
        <f t="shared" si="29"/>
        <v/>
      </c>
      <c r="P161" s="324" t="str">
        <f t="shared" si="37"/>
        <v/>
      </c>
      <c r="Q161" s="324" t="str">
        <f t="shared" si="31"/>
        <v>3.1.2 Porenbeton-Planbauplatten - rho 450  [0,15] (Pppl, dünnfugig verlegt)</v>
      </c>
      <c r="R161" s="338">
        <f t="shared" si="32"/>
        <v>0.15</v>
      </c>
      <c r="S161" s="1118" t="s">
        <v>1693</v>
      </c>
      <c r="T161" s="339" t="str">
        <f t="shared" si="35"/>
        <v xml:space="preserve">- rho 450 </v>
      </c>
      <c r="U161" s="339" t="str">
        <f t="shared" si="33"/>
        <v>[0,15]</v>
      </c>
      <c r="V161" s="1118" t="s">
        <v>1694</v>
      </c>
    </row>
    <row r="162" spans="2:22" hidden="1">
      <c r="D162" s="228" t="str">
        <f t="shared" si="38"/>
        <v>3.1.2 Porenbeton-Planbauplatten (Pppl), dünnfugig verlegt</v>
      </c>
      <c r="F162" s="213" t="s">
        <v>1367</v>
      </c>
      <c r="G162" s="213">
        <v>0.16</v>
      </c>
      <c r="H162" s="228" t="str">
        <f t="shared" si="39"/>
        <v xml:space="preserve">5/10 </v>
      </c>
      <c r="O162" s="324" t="str">
        <f t="shared" si="29"/>
        <v/>
      </c>
      <c r="P162" s="324" t="str">
        <f t="shared" si="37"/>
        <v/>
      </c>
      <c r="Q162" s="324" t="str">
        <f t="shared" si="31"/>
        <v>3.1.2 Porenbeton-Planbauplatten - rho 500  [0,16] (Pppl, dünnfugig verlegt)</v>
      </c>
      <c r="R162" s="338">
        <f t="shared" si="32"/>
        <v>0.16</v>
      </c>
      <c r="S162" s="1118" t="s">
        <v>1693</v>
      </c>
      <c r="T162" s="339" t="str">
        <f t="shared" si="35"/>
        <v xml:space="preserve">- rho 500 </v>
      </c>
      <c r="U162" s="339" t="str">
        <f t="shared" si="33"/>
        <v>[0,16]</v>
      </c>
      <c r="V162" s="1118" t="s">
        <v>1694</v>
      </c>
    </row>
    <row r="163" spans="2:22" hidden="1">
      <c r="D163" s="228" t="str">
        <f t="shared" si="38"/>
        <v>3.1.2 Porenbeton-Planbauplatten (Pppl), dünnfugig verlegt</v>
      </c>
      <c r="F163" s="213" t="s">
        <v>1368</v>
      </c>
      <c r="G163" s="213">
        <v>0.18</v>
      </c>
      <c r="H163" s="228" t="str">
        <f t="shared" si="39"/>
        <v xml:space="preserve">5/10 </v>
      </c>
      <c r="O163" s="324" t="str">
        <f t="shared" si="29"/>
        <v/>
      </c>
      <c r="P163" s="324" t="str">
        <f t="shared" si="37"/>
        <v/>
      </c>
      <c r="Q163" s="324" t="str">
        <f t="shared" si="31"/>
        <v>3.1.2 Porenbeton-Planbauplatten - rho 550  [0,18] (Pppl, dünnfugig verlegt)</v>
      </c>
      <c r="R163" s="338">
        <f t="shared" si="32"/>
        <v>0.18</v>
      </c>
      <c r="S163" s="1118" t="s">
        <v>1693</v>
      </c>
      <c r="T163" s="339" t="str">
        <f t="shared" si="35"/>
        <v xml:space="preserve">- rho 550 </v>
      </c>
      <c r="U163" s="339" t="str">
        <f t="shared" si="33"/>
        <v>[0,18]</v>
      </c>
      <c r="V163" s="1118" t="s">
        <v>1694</v>
      </c>
    </row>
    <row r="164" spans="2:22" hidden="1">
      <c r="D164" s="228" t="str">
        <f t="shared" si="38"/>
        <v>3.1.2 Porenbeton-Planbauplatten (Pppl), dünnfugig verlegt</v>
      </c>
      <c r="F164" s="213" t="s">
        <v>1369</v>
      </c>
      <c r="G164" s="213">
        <v>0.19</v>
      </c>
      <c r="H164" s="228" t="str">
        <f t="shared" si="39"/>
        <v xml:space="preserve">5/10 </v>
      </c>
      <c r="O164" s="324" t="str">
        <f t="shared" si="29"/>
        <v/>
      </c>
      <c r="P164" s="324" t="str">
        <f t="shared" si="37"/>
        <v/>
      </c>
      <c r="Q164" s="324" t="str">
        <f t="shared" si="31"/>
        <v>3.1.2 Porenbeton-Planbauplatten - rho 600  [0,19] (Pppl, dünnfugig verlegt)</v>
      </c>
      <c r="R164" s="338">
        <f t="shared" si="32"/>
        <v>0.19</v>
      </c>
      <c r="S164" s="1118" t="s">
        <v>1693</v>
      </c>
      <c r="T164" s="339" t="str">
        <f t="shared" si="35"/>
        <v xml:space="preserve">- rho 600 </v>
      </c>
      <c r="U164" s="339" t="str">
        <f t="shared" si="33"/>
        <v>[0,19]</v>
      </c>
      <c r="V164" s="1118" t="s">
        <v>1694</v>
      </c>
    </row>
    <row r="165" spans="2:22" hidden="1">
      <c r="D165" s="228" t="str">
        <f t="shared" si="38"/>
        <v>3.1.2 Porenbeton-Planbauplatten (Pppl), dünnfugig verlegt</v>
      </c>
      <c r="F165" s="213" t="s">
        <v>1370</v>
      </c>
      <c r="G165" s="213">
        <v>0.21</v>
      </c>
      <c r="H165" s="228" t="str">
        <f t="shared" si="39"/>
        <v xml:space="preserve">5/10 </v>
      </c>
      <c r="O165" s="324" t="str">
        <f t="shared" si="29"/>
        <v/>
      </c>
      <c r="P165" s="324" t="str">
        <f t="shared" si="37"/>
        <v/>
      </c>
      <c r="Q165" s="324" t="str">
        <f t="shared" si="31"/>
        <v>3.1.2 Porenbeton-Planbauplatten - rho 650  [0,21] (Pppl, dünnfugig verlegt)</v>
      </c>
      <c r="R165" s="338">
        <f t="shared" si="32"/>
        <v>0.21</v>
      </c>
      <c r="S165" s="1118" t="s">
        <v>1693</v>
      </c>
      <c r="T165" s="339" t="str">
        <f t="shared" si="35"/>
        <v xml:space="preserve">- rho 650 </v>
      </c>
      <c r="U165" s="339" t="str">
        <f t="shared" si="33"/>
        <v>[0,21]</v>
      </c>
      <c r="V165" s="1118" t="s">
        <v>1694</v>
      </c>
    </row>
    <row r="166" spans="2:22" hidden="1">
      <c r="D166" s="228" t="str">
        <f t="shared" si="38"/>
        <v>3.1.2 Porenbeton-Planbauplatten (Pppl), dünnfugig verlegt</v>
      </c>
      <c r="F166" s="213" t="s">
        <v>1199</v>
      </c>
      <c r="G166" s="213">
        <v>0.22</v>
      </c>
      <c r="H166" s="228" t="str">
        <f t="shared" si="39"/>
        <v xml:space="preserve">5/10 </v>
      </c>
      <c r="O166" s="324" t="str">
        <f t="shared" si="29"/>
        <v/>
      </c>
      <c r="P166" s="324" t="str">
        <f t="shared" si="37"/>
        <v/>
      </c>
      <c r="Q166" s="324" t="str">
        <f t="shared" si="31"/>
        <v>3.1.2 Porenbeton-Planbauplatten - rho 700  [0,22] (Pppl, dünnfugig verlegt)</v>
      </c>
      <c r="R166" s="338">
        <f t="shared" si="32"/>
        <v>0.22</v>
      </c>
      <c r="S166" s="1118" t="s">
        <v>1693</v>
      </c>
      <c r="T166" s="339" t="str">
        <f t="shared" si="35"/>
        <v xml:space="preserve">- rho 700 </v>
      </c>
      <c r="U166" s="339" t="str">
        <f t="shared" si="33"/>
        <v>[0,22]</v>
      </c>
      <c r="V166" s="1118" t="s">
        <v>1694</v>
      </c>
    </row>
    <row r="167" spans="2:22" hidden="1">
      <c r="D167" s="228" t="str">
        <f t="shared" si="38"/>
        <v>3.1.2 Porenbeton-Planbauplatten (Pppl), dünnfugig verlegt</v>
      </c>
      <c r="F167" s="213" t="s">
        <v>1371</v>
      </c>
      <c r="G167" s="213">
        <v>0.24</v>
      </c>
      <c r="H167" s="228" t="str">
        <f t="shared" si="39"/>
        <v xml:space="preserve">5/10 </v>
      </c>
      <c r="O167" s="324" t="str">
        <f t="shared" si="29"/>
        <v/>
      </c>
      <c r="P167" s="324" t="str">
        <f t="shared" si="37"/>
        <v/>
      </c>
      <c r="Q167" s="324" t="str">
        <f t="shared" si="31"/>
        <v>3.1.2 Porenbeton-Planbauplatten - rho 750  [0,24] (Pppl, dünnfugig verlegt)</v>
      </c>
      <c r="R167" s="338">
        <f t="shared" si="32"/>
        <v>0.24</v>
      </c>
      <c r="S167" s="1118" t="s">
        <v>1693</v>
      </c>
      <c r="T167" s="339" t="str">
        <f t="shared" si="35"/>
        <v xml:space="preserve">- rho 750 </v>
      </c>
      <c r="U167" s="339" t="str">
        <f t="shared" si="33"/>
        <v>[0,24]</v>
      </c>
      <c r="V167" s="1118" t="s">
        <v>1694</v>
      </c>
    </row>
    <row r="168" spans="2:22" hidden="1">
      <c r="D168" s="228" t="str">
        <f t="shared" si="38"/>
        <v>3.1.2 Porenbeton-Planbauplatten (Pppl), dünnfugig verlegt</v>
      </c>
      <c r="F168" s="213" t="s">
        <v>1353</v>
      </c>
      <c r="G168" s="213">
        <v>0.25</v>
      </c>
      <c r="H168" s="228" t="str">
        <f t="shared" si="39"/>
        <v xml:space="preserve">5/10 </v>
      </c>
      <c r="O168" s="324" t="str">
        <f t="shared" si="29"/>
        <v/>
      </c>
      <c r="P168" s="324" t="str">
        <f t="shared" si="37"/>
        <v/>
      </c>
      <c r="Q168" s="324" t="str">
        <f t="shared" si="31"/>
        <v>3.1.2 Porenbeton-Planbauplatten - rho 800  [0,25] (Pppl, dünnfugig verlegt)</v>
      </c>
      <c r="R168" s="338">
        <f t="shared" si="32"/>
        <v>0.25</v>
      </c>
      <c r="S168" s="1118" t="s">
        <v>1693</v>
      </c>
      <c r="T168" s="339" t="str">
        <f t="shared" si="35"/>
        <v xml:space="preserve">- rho 800 </v>
      </c>
      <c r="U168" s="339" t="str">
        <f t="shared" si="33"/>
        <v>[0,25]</v>
      </c>
      <c r="V168" s="1118" t="s">
        <v>1694</v>
      </c>
    </row>
    <row r="169" spans="2:22" hidden="1">
      <c r="B169" s="213" t="s">
        <v>1723</v>
      </c>
      <c r="D169" s="213" t="s">
        <v>3294</v>
      </c>
      <c r="F169" s="213" t="s">
        <v>1353</v>
      </c>
      <c r="G169" s="213">
        <v>0.28999999999999998</v>
      </c>
      <c r="H169" s="213" t="s">
        <v>1365</v>
      </c>
      <c r="K169" s="1073"/>
      <c r="O169" s="324" t="str">
        <f t="shared" si="29"/>
        <v/>
      </c>
      <c r="P169" s="324" t="str">
        <f t="shared" si="37"/>
        <v>3.2 Leichtbeton</v>
      </c>
      <c r="Q169" s="324" t="str">
        <f t="shared" si="31"/>
        <v>3.2 Wandbauplatten aus Leichtbeton - rho 800  [0,29]</v>
      </c>
      <c r="R169" s="338">
        <f t="shared" si="32"/>
        <v>0.28999999999999998</v>
      </c>
      <c r="S169" s="339" t="str">
        <f t="shared" ref="S169:S185" si="40">D169</f>
        <v>3.2 Wandbauplatten aus Leichtbeton</v>
      </c>
      <c r="T169" s="339" t="str">
        <f t="shared" si="35"/>
        <v xml:space="preserve">- rho 800 </v>
      </c>
      <c r="U169" s="339" t="str">
        <f t="shared" si="33"/>
        <v>[0,29]</v>
      </c>
    </row>
    <row r="170" spans="2:22" ht="12" hidden="1" customHeight="1">
      <c r="B170" s="1271" t="s">
        <v>3295</v>
      </c>
      <c r="C170" s="1271"/>
      <c r="D170" s="228" t="str">
        <f>D169</f>
        <v>3.2 Wandbauplatten aus Leichtbeton</v>
      </c>
      <c r="F170" s="213" t="s">
        <v>1355</v>
      </c>
      <c r="G170" s="213">
        <v>0.32</v>
      </c>
      <c r="H170" s="228" t="str">
        <f t="shared" ref="H170:H173" si="41">H169</f>
        <v xml:space="preserve">5/10 </v>
      </c>
      <c r="K170" s="1073"/>
      <c r="O170" s="324" t="str">
        <f t="shared" si="29"/>
        <v/>
      </c>
      <c r="P170" s="324" t="str">
        <f t="shared" si="37"/>
        <v/>
      </c>
      <c r="Q170" s="324" t="str">
        <f t="shared" si="31"/>
        <v>3.2 Wandbauplatten aus Leichtbeton - rho 900  [0,32]</v>
      </c>
      <c r="R170" s="338">
        <f t="shared" si="32"/>
        <v>0.32</v>
      </c>
      <c r="S170" s="339" t="str">
        <f t="shared" si="40"/>
        <v>3.2 Wandbauplatten aus Leichtbeton</v>
      </c>
      <c r="T170" s="339" t="str">
        <f t="shared" si="35"/>
        <v xml:space="preserve">- rho 900 </v>
      </c>
      <c r="U170" s="339" t="str">
        <f t="shared" si="33"/>
        <v>[0,32]</v>
      </c>
    </row>
    <row r="171" spans="2:22" hidden="1">
      <c r="B171" s="1271"/>
      <c r="C171" s="1271"/>
      <c r="D171" s="228" t="str">
        <f>D170</f>
        <v>3.2 Wandbauplatten aus Leichtbeton</v>
      </c>
      <c r="F171" s="213" t="s">
        <v>1200</v>
      </c>
      <c r="G171" s="213">
        <v>0.37</v>
      </c>
      <c r="H171" s="228" t="str">
        <f t="shared" si="41"/>
        <v xml:space="preserve">5/10 </v>
      </c>
      <c r="K171" s="1073"/>
      <c r="O171" s="324" t="str">
        <f t="shared" si="29"/>
        <v/>
      </c>
      <c r="P171" s="324" t="str">
        <f t="shared" si="37"/>
        <v/>
      </c>
      <c r="Q171" s="324" t="str">
        <f t="shared" si="31"/>
        <v>3.2 Wandbauplatten aus Leichtbeton - rho 1 000  [0,37]</v>
      </c>
      <c r="R171" s="338">
        <f t="shared" si="32"/>
        <v>0.37</v>
      </c>
      <c r="S171" s="339" t="str">
        <f t="shared" si="40"/>
        <v>3.2 Wandbauplatten aus Leichtbeton</v>
      </c>
      <c r="T171" s="339" t="str">
        <f t="shared" si="35"/>
        <v xml:space="preserve">- rho 1 000 </v>
      </c>
      <c r="U171" s="339" t="str">
        <f t="shared" si="33"/>
        <v>[0,37]</v>
      </c>
    </row>
    <row r="172" spans="2:22" hidden="1">
      <c r="B172" s="1271"/>
      <c r="C172" s="1271"/>
      <c r="D172" s="228" t="str">
        <f>D171</f>
        <v>3.2 Wandbauplatten aus Leichtbeton</v>
      </c>
      <c r="F172" s="213" t="s">
        <v>1357</v>
      </c>
      <c r="G172" s="213">
        <v>0.47</v>
      </c>
      <c r="H172" s="228" t="str">
        <f t="shared" si="41"/>
        <v xml:space="preserve">5/10 </v>
      </c>
      <c r="K172" s="1073"/>
      <c r="O172" s="324" t="str">
        <f t="shared" si="29"/>
        <v/>
      </c>
      <c r="P172" s="324" t="str">
        <f t="shared" si="37"/>
        <v/>
      </c>
      <c r="Q172" s="324" t="str">
        <f t="shared" si="31"/>
        <v>3.2 Wandbauplatten aus Leichtbeton - rho 1 200  [0,47]</v>
      </c>
      <c r="R172" s="338">
        <f t="shared" si="32"/>
        <v>0.47</v>
      </c>
      <c r="S172" s="339" t="str">
        <f t="shared" si="40"/>
        <v>3.2 Wandbauplatten aus Leichtbeton</v>
      </c>
      <c r="T172" s="339" t="str">
        <f t="shared" si="35"/>
        <v xml:space="preserve">- rho 1 200 </v>
      </c>
      <c r="U172" s="339" t="str">
        <f t="shared" si="33"/>
        <v>[0,47]</v>
      </c>
    </row>
    <row r="173" spans="2:22" hidden="1">
      <c r="B173" s="1114"/>
      <c r="D173" s="228" t="str">
        <f>D172</f>
        <v>3.2 Wandbauplatten aus Leichtbeton</v>
      </c>
      <c r="F173" s="213" t="s">
        <v>1350</v>
      </c>
      <c r="G173" s="213">
        <v>0.57999999999999996</v>
      </c>
      <c r="H173" s="228" t="str">
        <f t="shared" si="41"/>
        <v xml:space="preserve">5/10 </v>
      </c>
      <c r="K173" s="1073"/>
      <c r="O173" s="324" t="str">
        <f t="shared" si="29"/>
        <v/>
      </c>
      <c r="P173" s="324" t="str">
        <f t="shared" si="37"/>
        <v/>
      </c>
      <c r="Q173" s="324" t="str">
        <f t="shared" si="31"/>
        <v>3.2 Wandbauplatten aus Leichtbeton - rho 1 400  [0,58]</v>
      </c>
      <c r="R173" s="338">
        <f t="shared" si="32"/>
        <v>0.57999999999999996</v>
      </c>
      <c r="S173" s="339" t="str">
        <f t="shared" si="40"/>
        <v>3.2 Wandbauplatten aus Leichtbeton</v>
      </c>
      <c r="T173" s="339" t="str">
        <f t="shared" si="35"/>
        <v xml:space="preserve">- rho 1 400 </v>
      </c>
      <c r="U173" s="339" t="str">
        <f t="shared" si="33"/>
        <v>[0,58]</v>
      </c>
    </row>
    <row r="174" spans="2:22" hidden="1">
      <c r="B174" s="213" t="s">
        <v>1385</v>
      </c>
      <c r="D174" s="213" t="s">
        <v>3296</v>
      </c>
      <c r="F174" s="755">
        <v>600</v>
      </c>
      <c r="G174" s="213">
        <v>0.18</v>
      </c>
      <c r="H174" s="756" t="s">
        <v>1386</v>
      </c>
      <c r="K174" s="1073" t="s">
        <v>3451</v>
      </c>
      <c r="O174" s="324" t="str">
        <f t="shared" si="29"/>
        <v/>
      </c>
      <c r="P174" s="324" t="str">
        <f t="shared" si="37"/>
        <v>3.3 Gips</v>
      </c>
      <c r="Q174" s="324" t="str">
        <f t="shared" si="31"/>
        <v>3.3 Gips-Wandbauplatten - rho 600 [0,18]</v>
      </c>
      <c r="R174" s="338">
        <f t="shared" si="32"/>
        <v>0.18</v>
      </c>
      <c r="S174" s="339" t="str">
        <f t="shared" si="40"/>
        <v>3.3 Gips-Wandbauplatten</v>
      </c>
      <c r="T174" s="339" t="str">
        <f t="shared" si="35"/>
        <v>- rho 600</v>
      </c>
      <c r="U174" s="339" t="str">
        <f t="shared" si="33"/>
        <v>[0,18]</v>
      </c>
    </row>
    <row r="175" spans="2:22" ht="12" hidden="1" customHeight="1">
      <c r="B175" s="1271" t="s">
        <v>3297</v>
      </c>
      <c r="C175" s="1271"/>
      <c r="D175" s="228" t="str">
        <f>D174</f>
        <v>3.3 Gips-Wandbauplatten</v>
      </c>
      <c r="F175" s="755">
        <v>700</v>
      </c>
      <c r="G175" s="213">
        <v>0.22</v>
      </c>
      <c r="H175" s="228" t="str">
        <f t="shared" ref="H175:H183" si="42">H174</f>
        <v xml:space="preserve">4/10 </v>
      </c>
      <c r="K175" s="1073"/>
      <c r="O175" s="324" t="str">
        <f t="shared" si="29"/>
        <v/>
      </c>
      <c r="P175" s="324" t="str">
        <f t="shared" si="37"/>
        <v/>
      </c>
      <c r="Q175" s="324" t="str">
        <f t="shared" si="31"/>
        <v>3.3 Gips-Wandbauplatten - rho 700 [0,22]</v>
      </c>
      <c r="R175" s="338">
        <f t="shared" si="32"/>
        <v>0.22</v>
      </c>
      <c r="S175" s="339" t="str">
        <f t="shared" si="40"/>
        <v>3.3 Gips-Wandbauplatten</v>
      </c>
      <c r="T175" s="339" t="str">
        <f t="shared" si="35"/>
        <v>- rho 700</v>
      </c>
      <c r="U175" s="339" t="str">
        <f t="shared" si="33"/>
        <v>[0,22]</v>
      </c>
    </row>
    <row r="176" spans="2:22" hidden="1">
      <c r="B176" s="1271"/>
      <c r="C176" s="1271"/>
      <c r="D176" s="228" t="str">
        <f>D175</f>
        <v>3.3 Gips-Wandbauplatten</v>
      </c>
      <c r="F176" s="755">
        <v>800</v>
      </c>
      <c r="G176" s="213">
        <v>0.26</v>
      </c>
      <c r="H176" s="228" t="str">
        <f t="shared" si="42"/>
        <v xml:space="preserve">4/10 </v>
      </c>
      <c r="K176" s="1073"/>
      <c r="O176" s="324" t="str">
        <f t="shared" si="29"/>
        <v/>
      </c>
      <c r="P176" s="324" t="str">
        <f t="shared" si="37"/>
        <v/>
      </c>
      <c r="Q176" s="324" t="str">
        <f t="shared" si="31"/>
        <v>3.3 Gips-Wandbauplatten - rho 800 [0,26]</v>
      </c>
      <c r="R176" s="338">
        <f t="shared" si="32"/>
        <v>0.26</v>
      </c>
      <c r="S176" s="339" t="str">
        <f t="shared" si="40"/>
        <v>3.3 Gips-Wandbauplatten</v>
      </c>
      <c r="T176" s="339" t="str">
        <f t="shared" si="35"/>
        <v>- rho 800</v>
      </c>
      <c r="U176" s="339" t="str">
        <f t="shared" si="33"/>
        <v>[0,26]</v>
      </c>
    </row>
    <row r="177" spans="1:21" hidden="1">
      <c r="D177" s="228" t="str">
        <f>D176</f>
        <v>3.3 Gips-Wandbauplatten</v>
      </c>
      <c r="F177" s="755">
        <v>900</v>
      </c>
      <c r="G177" s="213">
        <v>0.3</v>
      </c>
      <c r="H177" s="228" t="str">
        <f t="shared" si="42"/>
        <v xml:space="preserve">4/10 </v>
      </c>
      <c r="K177" s="1073"/>
      <c r="O177" s="324" t="str">
        <f t="shared" si="29"/>
        <v/>
      </c>
      <c r="P177" s="324" t="str">
        <f t="shared" si="37"/>
        <v/>
      </c>
      <c r="Q177" s="324" t="str">
        <f t="shared" si="31"/>
        <v>3.3 Gips-Wandbauplatten - rho 900 [0,3]</v>
      </c>
      <c r="R177" s="338">
        <f t="shared" si="32"/>
        <v>0.3</v>
      </c>
      <c r="S177" s="339" t="str">
        <f t="shared" si="40"/>
        <v>3.3 Gips-Wandbauplatten</v>
      </c>
      <c r="T177" s="339" t="str">
        <f t="shared" si="35"/>
        <v>- rho 900</v>
      </c>
      <c r="U177" s="339" t="str">
        <f t="shared" si="33"/>
        <v>[0,3]</v>
      </c>
    </row>
    <row r="178" spans="1:21" hidden="1">
      <c r="D178" s="228" t="str">
        <f t="shared" ref="D178:D183" si="43">D177</f>
        <v>3.3 Gips-Wandbauplatten</v>
      </c>
      <c r="F178" s="213" t="s">
        <v>1200</v>
      </c>
      <c r="G178" s="213">
        <v>0.34</v>
      </c>
      <c r="H178" s="228" t="str">
        <f t="shared" si="42"/>
        <v xml:space="preserve">4/10 </v>
      </c>
      <c r="K178" s="1073"/>
      <c r="P178" s="324" t="str">
        <f t="shared" ref="P178:P183" si="44">IF(ISERROR(VALUE((LEFT(B178,1))))=FALSE,B178,"")</f>
        <v/>
      </c>
      <c r="Q178" s="324" t="str">
        <f t="shared" ref="Q178:Q183" si="45">IF(S178&gt;0,S178,"")&amp;IF(T178&lt;&gt;""," "&amp;T178,"")&amp;IF(U178&lt;&gt;""," "&amp;U178,"")&amp;IF(V178&lt;&gt;""," "&amp;V178,"")</f>
        <v>3.3 Gips-Wandbauplatten - rho 1 000  [0,34]</v>
      </c>
      <c r="R178" s="338">
        <f t="shared" ref="R178:R183" si="46">G178</f>
        <v>0.34</v>
      </c>
      <c r="S178" s="339" t="str">
        <f t="shared" ref="S178:S183" si="47">D178</f>
        <v>3.3 Gips-Wandbauplatten</v>
      </c>
      <c r="T178" s="339" t="str">
        <f t="shared" ref="T178:T183" si="48" xml:space="preserve"> "- rho "&amp;F178</f>
        <v xml:space="preserve">- rho 1 000 </v>
      </c>
      <c r="U178" s="339" t="str">
        <f t="shared" ref="U178:U183" si="49">IF(G178&gt;0,"["&amp;G178&amp;"]","")</f>
        <v>[0,34]</v>
      </c>
    </row>
    <row r="179" spans="1:21" hidden="1">
      <c r="D179" s="228" t="str">
        <f t="shared" si="43"/>
        <v>3.3 Gips-Wandbauplatten</v>
      </c>
      <c r="F179" s="213" t="s">
        <v>1356</v>
      </c>
      <c r="G179" s="213">
        <v>0.39</v>
      </c>
      <c r="H179" s="228" t="str">
        <f t="shared" si="42"/>
        <v xml:space="preserve">4/10 </v>
      </c>
      <c r="K179" s="1073"/>
      <c r="P179" s="324" t="str">
        <f t="shared" si="44"/>
        <v/>
      </c>
      <c r="Q179" s="324" t="str">
        <f t="shared" si="45"/>
        <v>3.3 Gips-Wandbauplatten - rho 1 100  [0,39]</v>
      </c>
      <c r="R179" s="338">
        <f t="shared" si="46"/>
        <v>0.39</v>
      </c>
      <c r="S179" s="339" t="str">
        <f t="shared" si="47"/>
        <v>3.3 Gips-Wandbauplatten</v>
      </c>
      <c r="T179" s="339" t="str">
        <f t="shared" si="48"/>
        <v xml:space="preserve">- rho 1 100 </v>
      </c>
      <c r="U179" s="339" t="str">
        <f t="shared" si="49"/>
        <v>[0,39]</v>
      </c>
    </row>
    <row r="180" spans="1:21" hidden="1">
      <c r="D180" s="228" t="str">
        <f t="shared" si="43"/>
        <v>3.3 Gips-Wandbauplatten</v>
      </c>
      <c r="F180" s="213" t="s">
        <v>1357</v>
      </c>
      <c r="G180" s="213">
        <v>0.43</v>
      </c>
      <c r="H180" s="228" t="str">
        <f t="shared" si="42"/>
        <v xml:space="preserve">4/10 </v>
      </c>
      <c r="K180" s="1073"/>
      <c r="P180" s="324" t="str">
        <f t="shared" si="44"/>
        <v/>
      </c>
      <c r="Q180" s="324" t="str">
        <f t="shared" si="45"/>
        <v>3.3 Gips-Wandbauplatten - rho 1 200  [0,43]</v>
      </c>
      <c r="R180" s="338">
        <f t="shared" si="46"/>
        <v>0.43</v>
      </c>
      <c r="S180" s="339" t="str">
        <f t="shared" si="47"/>
        <v>3.3 Gips-Wandbauplatten</v>
      </c>
      <c r="T180" s="339" t="str">
        <f t="shared" si="48"/>
        <v xml:space="preserve">- rho 1 200 </v>
      </c>
      <c r="U180" s="339" t="str">
        <f t="shared" si="49"/>
        <v>[0,43]</v>
      </c>
    </row>
    <row r="181" spans="1:21" hidden="1">
      <c r="D181" s="228" t="str">
        <f t="shared" si="43"/>
        <v>3.3 Gips-Wandbauplatten</v>
      </c>
      <c r="F181" s="213" t="s">
        <v>1358</v>
      </c>
      <c r="G181" s="213">
        <v>0.47</v>
      </c>
      <c r="H181" s="228" t="str">
        <f t="shared" si="42"/>
        <v xml:space="preserve">4/10 </v>
      </c>
      <c r="K181" s="1073"/>
      <c r="P181" s="324" t="str">
        <f t="shared" si="44"/>
        <v/>
      </c>
      <c r="Q181" s="324" t="str">
        <f t="shared" si="45"/>
        <v>3.3 Gips-Wandbauplatten - rho 1 300  [0,47]</v>
      </c>
      <c r="R181" s="338">
        <f t="shared" si="46"/>
        <v>0.47</v>
      </c>
      <c r="S181" s="339" t="str">
        <f t="shared" si="47"/>
        <v>3.3 Gips-Wandbauplatten</v>
      </c>
      <c r="T181" s="339" t="str">
        <f t="shared" si="48"/>
        <v xml:space="preserve">- rho 1 300 </v>
      </c>
      <c r="U181" s="339" t="str">
        <f t="shared" si="49"/>
        <v>[0,47]</v>
      </c>
    </row>
    <row r="182" spans="1:21" hidden="1">
      <c r="D182" s="228" t="str">
        <f t="shared" si="43"/>
        <v>3.3 Gips-Wandbauplatten</v>
      </c>
      <c r="F182" s="213" t="s">
        <v>1350</v>
      </c>
      <c r="G182" s="213">
        <v>0.51</v>
      </c>
      <c r="H182" s="228" t="str">
        <f t="shared" si="42"/>
        <v xml:space="preserve">4/10 </v>
      </c>
      <c r="K182" s="1073"/>
      <c r="P182" s="324" t="str">
        <f t="shared" si="44"/>
        <v/>
      </c>
      <c r="Q182" s="324" t="str">
        <f t="shared" si="45"/>
        <v>3.3 Gips-Wandbauplatten - rho 1 400  [0,51]</v>
      </c>
      <c r="R182" s="338">
        <f t="shared" si="46"/>
        <v>0.51</v>
      </c>
      <c r="S182" s="339" t="str">
        <f t="shared" si="47"/>
        <v>3.3 Gips-Wandbauplatten</v>
      </c>
      <c r="T182" s="339" t="str">
        <f t="shared" si="48"/>
        <v xml:space="preserve">- rho 1 400 </v>
      </c>
      <c r="U182" s="339" t="str">
        <f t="shared" si="49"/>
        <v>[0,51]</v>
      </c>
    </row>
    <row r="183" spans="1:21" hidden="1">
      <c r="D183" s="228" t="str">
        <f t="shared" si="43"/>
        <v>3.3 Gips-Wandbauplatten</v>
      </c>
      <c r="F183" s="213" t="s">
        <v>1201</v>
      </c>
      <c r="G183" s="213">
        <v>0.56000000000000005</v>
      </c>
      <c r="H183" s="228" t="str">
        <f t="shared" si="42"/>
        <v xml:space="preserve">4/10 </v>
      </c>
      <c r="K183" s="1073"/>
      <c r="P183" s="324" t="str">
        <f t="shared" si="44"/>
        <v/>
      </c>
      <c r="Q183" s="324" t="str">
        <f t="shared" si="45"/>
        <v>3.3 Gips-Wandbauplatten - rho 1 500  [0,56]</v>
      </c>
      <c r="R183" s="338">
        <f t="shared" si="46"/>
        <v>0.56000000000000005</v>
      </c>
      <c r="S183" s="339" t="str">
        <f t="shared" si="47"/>
        <v>3.3 Gips-Wandbauplatten</v>
      </c>
      <c r="T183" s="339" t="str">
        <f t="shared" si="48"/>
        <v xml:space="preserve">- rho 1 500 </v>
      </c>
      <c r="U183" s="339" t="str">
        <f t="shared" si="49"/>
        <v>[0,56]</v>
      </c>
    </row>
    <row r="184" spans="1:21" hidden="1">
      <c r="B184" s="213" t="s">
        <v>3298</v>
      </c>
      <c r="D184" s="213" t="s">
        <v>3298</v>
      </c>
      <c r="F184" s="755">
        <v>700</v>
      </c>
      <c r="G184" s="213">
        <v>0.21</v>
      </c>
      <c r="H184" s="756" t="s">
        <v>1386</v>
      </c>
      <c r="K184" s="1073" t="s">
        <v>3451</v>
      </c>
      <c r="O184" s="324" t="str">
        <f t="shared" si="29"/>
        <v/>
      </c>
      <c r="P184" s="324" t="str">
        <f t="shared" si="37"/>
        <v>3.4 Gipsplatten</v>
      </c>
      <c r="Q184" s="324" t="str">
        <f t="shared" si="31"/>
        <v>3.4 Gipsplatten - rho 700 [0,21]</v>
      </c>
      <c r="R184" s="338">
        <f t="shared" si="32"/>
        <v>0.21</v>
      </c>
      <c r="S184" s="339" t="str">
        <f t="shared" si="40"/>
        <v>3.4 Gipsplatten</v>
      </c>
      <c r="T184" s="339" t="str">
        <f t="shared" si="35"/>
        <v>- rho 700</v>
      </c>
      <c r="U184" s="339" t="str">
        <f t="shared" si="33"/>
        <v>[0,21]</v>
      </c>
    </row>
    <row r="185" spans="1:21" hidden="1">
      <c r="D185" s="228" t="str">
        <f t="shared" ref="D185" si="50">D184</f>
        <v>3.4 Gipsplatten</v>
      </c>
      <c r="F185" s="755">
        <v>900</v>
      </c>
      <c r="G185" s="213">
        <v>0.25</v>
      </c>
      <c r="H185" s="228" t="str">
        <f t="shared" ref="H185" si="51">H184</f>
        <v xml:space="preserve">4/10 </v>
      </c>
      <c r="K185" s="1073"/>
      <c r="P185" s="324" t="str">
        <f t="shared" si="37"/>
        <v/>
      </c>
      <c r="Q185" s="324" t="str">
        <f t="shared" si="31"/>
        <v>3.4 Gipsplatten - rho 900 [0,25]</v>
      </c>
      <c r="R185" s="338">
        <f t="shared" si="32"/>
        <v>0.25</v>
      </c>
      <c r="S185" s="339" t="str">
        <f t="shared" si="40"/>
        <v>3.4 Gipsplatten</v>
      </c>
      <c r="T185" s="339" t="str">
        <f t="shared" si="35"/>
        <v>- rho 900</v>
      </c>
      <c r="U185" s="339" t="str">
        <f t="shared" si="33"/>
        <v>[0,25]</v>
      </c>
    </row>
    <row r="186" spans="1:21" hidden="1">
      <c r="A186" s="214" t="s">
        <v>1387</v>
      </c>
      <c r="B186" s="213" t="s">
        <v>1406</v>
      </c>
      <c r="D186" s="213" t="s">
        <v>3337</v>
      </c>
      <c r="F186" s="213" t="s">
        <v>1360</v>
      </c>
      <c r="G186" s="213">
        <v>0.81</v>
      </c>
      <c r="H186" s="213" t="s">
        <v>1402</v>
      </c>
      <c r="I186" s="213" t="s">
        <v>1176</v>
      </c>
      <c r="K186" s="1073"/>
      <c r="O186" s="324" t="str">
        <f t="shared" si="29"/>
        <v>4 Mauerwerk</v>
      </c>
      <c r="P186" s="324" t="str">
        <f t="shared" si="37"/>
        <v>4.1.1 Klinker</v>
      </c>
      <c r="Q186" s="324" t="str">
        <f t="shared" si="31"/>
        <v>4.1.1 Voll-, Hochloch-, Keramikklinker - rho 1 800  [0,81]</v>
      </c>
      <c r="R186" s="338">
        <f t="shared" si="32"/>
        <v>0.81</v>
      </c>
      <c r="S186" s="1118" t="s">
        <v>1695</v>
      </c>
      <c r="T186" s="339" t="str">
        <f t="shared" si="35"/>
        <v xml:space="preserve">- rho 1 800 </v>
      </c>
      <c r="U186" s="339" t="str">
        <f t="shared" si="33"/>
        <v>[0,81]</v>
      </c>
    </row>
    <row r="187" spans="1:21" ht="12" hidden="1" customHeight="1">
      <c r="A187" s="1353" t="s">
        <v>1388</v>
      </c>
      <c r="B187" s="1271" t="s">
        <v>3338</v>
      </c>
      <c r="C187" s="1271"/>
      <c r="D187" s="228" t="str">
        <f t="shared" ref="D187:D247" si="52">D186</f>
        <v>4.1.1 Vollklinker, Hochlochklinker, Keramikklinker - NM/DM</v>
      </c>
      <c r="F187" s="213" t="s">
        <v>1361</v>
      </c>
      <c r="G187" s="213">
        <v>0.96</v>
      </c>
      <c r="H187" s="228" t="str">
        <f t="shared" ref="H187:H189" si="53">H186</f>
        <v xml:space="preserve">50/100 </v>
      </c>
      <c r="K187" s="1073"/>
      <c r="O187" s="324" t="str">
        <f t="shared" si="29"/>
        <v>einschließlich Mörtelfugen</v>
      </c>
      <c r="P187" s="324" t="str">
        <f t="shared" si="37"/>
        <v/>
      </c>
      <c r="Q187" s="324" t="str">
        <f t="shared" si="31"/>
        <v>4.1.1 Voll-, Hochloch-, Keramikklinker - rho 2 000  [0,96]</v>
      </c>
      <c r="R187" s="338">
        <f t="shared" si="32"/>
        <v>0.96</v>
      </c>
      <c r="S187" s="1118" t="s">
        <v>1695</v>
      </c>
      <c r="T187" s="339" t="str">
        <f t="shared" si="35"/>
        <v xml:space="preserve">- rho 2 000 </v>
      </c>
      <c r="U187" s="339" t="str">
        <f t="shared" si="33"/>
        <v>[0,96]</v>
      </c>
    </row>
    <row r="188" spans="1:21" hidden="1">
      <c r="A188" s="1353"/>
      <c r="B188" s="1271"/>
      <c r="C188" s="1271"/>
      <c r="D188" s="228" t="str">
        <f t="shared" si="52"/>
        <v>4.1.1 Vollklinker, Hochlochklinker, Keramikklinker - NM/DM</v>
      </c>
      <c r="F188" s="213" t="s">
        <v>3449</v>
      </c>
      <c r="G188" s="213">
        <v>1.2</v>
      </c>
      <c r="H188" s="228" t="str">
        <f t="shared" si="53"/>
        <v xml:space="preserve">50/100 </v>
      </c>
      <c r="K188" s="1073"/>
      <c r="O188" s="324" t="str">
        <f t="shared" si="29"/>
        <v/>
      </c>
      <c r="P188" s="324" t="str">
        <f t="shared" si="37"/>
        <v/>
      </c>
      <c r="Q188" s="324" t="str">
        <f t="shared" si="31"/>
        <v>4.1.1 Voll-, Hochloch-, Keramikklinker - rho 2 200  [1,2]</v>
      </c>
      <c r="R188" s="338">
        <f t="shared" si="32"/>
        <v>1.2</v>
      </c>
      <c r="S188" s="1118" t="s">
        <v>1695</v>
      </c>
      <c r="T188" s="339" t="str">
        <f t="shared" si="35"/>
        <v xml:space="preserve">- rho 2 200 </v>
      </c>
      <c r="U188" s="339" t="str">
        <f t="shared" si="33"/>
        <v>[1,2]</v>
      </c>
    </row>
    <row r="189" spans="1:21" hidden="1">
      <c r="B189" s="1271"/>
      <c r="C189" s="1271"/>
      <c r="D189" s="228" t="str">
        <f t="shared" si="52"/>
        <v>4.1.1 Vollklinker, Hochlochklinker, Keramikklinker - NM/DM</v>
      </c>
      <c r="F189" s="213" t="s">
        <v>3450</v>
      </c>
      <c r="G189" s="213">
        <v>1.4</v>
      </c>
      <c r="H189" s="228" t="str">
        <f t="shared" si="53"/>
        <v xml:space="preserve">50/100 </v>
      </c>
      <c r="K189" s="1073"/>
      <c r="O189" s="324" t="str">
        <f t="shared" si="29"/>
        <v/>
      </c>
      <c r="P189" s="324" t="str">
        <f t="shared" si="37"/>
        <v/>
      </c>
      <c r="Q189" s="324" t="str">
        <f t="shared" si="31"/>
        <v>4.1.1 Voll-, Hochloch-, Keramikklinker - rho 2 400  [1,4]</v>
      </c>
      <c r="R189" s="338">
        <f t="shared" si="32"/>
        <v>1.4</v>
      </c>
      <c r="S189" s="1118" t="s">
        <v>1695</v>
      </c>
      <c r="T189" s="339" t="str">
        <f t="shared" si="35"/>
        <v xml:space="preserve">- rho 2 400 </v>
      </c>
      <c r="U189" s="339" t="str">
        <f t="shared" si="33"/>
        <v>[1,4]</v>
      </c>
    </row>
    <row r="190" spans="1:21" hidden="1">
      <c r="B190" s="213" t="s">
        <v>1407</v>
      </c>
      <c r="D190" s="213" t="s">
        <v>3339</v>
      </c>
      <c r="F190" s="213" t="s">
        <v>1357</v>
      </c>
      <c r="G190" s="213">
        <v>0.5</v>
      </c>
      <c r="H190" s="213" t="s">
        <v>1365</v>
      </c>
      <c r="I190" s="213" t="s">
        <v>1176</v>
      </c>
      <c r="K190" s="1073"/>
      <c r="O190" s="324" t="str">
        <f t="shared" si="29"/>
        <v/>
      </c>
      <c r="P190" s="324" t="str">
        <f t="shared" si="37"/>
        <v>4.1.2 Vollziegel</v>
      </c>
      <c r="Q190" s="324" t="str">
        <f t="shared" si="31"/>
        <v>4.1.2 Voll-, Hochloch-, Füllziegel - rho 1 200  [0,5]</v>
      </c>
      <c r="R190" s="338">
        <f t="shared" si="32"/>
        <v>0.5</v>
      </c>
      <c r="S190" s="1118" t="s">
        <v>1696</v>
      </c>
      <c r="T190" s="339" t="str">
        <f t="shared" si="35"/>
        <v xml:space="preserve">- rho 1 200 </v>
      </c>
      <c r="U190" s="339" t="str">
        <f t="shared" si="33"/>
        <v>[0,5]</v>
      </c>
    </row>
    <row r="191" spans="1:21" ht="12" hidden="1" customHeight="1">
      <c r="B191" s="1271" t="s">
        <v>1412</v>
      </c>
      <c r="C191" s="1271"/>
      <c r="D191" s="228" t="str">
        <f t="shared" si="52"/>
        <v>4.1.2 Vollziegel, Hochlochziegel, Füllziegel - NM/DM</v>
      </c>
      <c r="F191" s="213" t="s">
        <v>1350</v>
      </c>
      <c r="G191" s="213">
        <v>0.57999999999999996</v>
      </c>
      <c r="H191" s="228" t="str">
        <f t="shared" ref="H191:H196" si="54">H190</f>
        <v xml:space="preserve">5/10 </v>
      </c>
      <c r="K191" s="1073"/>
      <c r="O191" s="324" t="str">
        <f t="shared" si="29"/>
        <v/>
      </c>
      <c r="P191" s="324" t="str">
        <f>IF(ISERROR(VALUE((LEFT(B198,1))))=FALSE,B198,"")</f>
        <v/>
      </c>
      <c r="Q191" s="324" t="str">
        <f t="shared" si="31"/>
        <v>4.1.2 Voll-, Hochloch-, Füllziegel - rho 1 400  [0,58]</v>
      </c>
      <c r="R191" s="338">
        <f t="shared" si="32"/>
        <v>0.57999999999999996</v>
      </c>
      <c r="S191" s="1118" t="s">
        <v>1696</v>
      </c>
      <c r="T191" s="339" t="str">
        <f t="shared" si="35"/>
        <v xml:space="preserve">- rho 1 400 </v>
      </c>
      <c r="U191" s="339" t="str">
        <f t="shared" si="33"/>
        <v>[0,58]</v>
      </c>
    </row>
    <row r="192" spans="1:21" hidden="1">
      <c r="B192" s="1271"/>
      <c r="C192" s="1271"/>
      <c r="D192" s="228" t="str">
        <f t="shared" si="52"/>
        <v>4.1.2 Vollziegel, Hochlochziegel, Füllziegel - NM/DM</v>
      </c>
      <c r="F192" s="213" t="s">
        <v>1359</v>
      </c>
      <c r="G192" s="213">
        <v>0.68</v>
      </c>
      <c r="H192" s="228" t="str">
        <f t="shared" si="54"/>
        <v xml:space="preserve">5/10 </v>
      </c>
      <c r="K192" s="1073"/>
      <c r="O192" s="324" t="str">
        <f t="shared" si="29"/>
        <v/>
      </c>
      <c r="P192" s="324" t="str">
        <f>IF(ISERROR(VALUE((LEFT(B199,1))))=FALSE,B199,"")</f>
        <v/>
      </c>
      <c r="Q192" s="324" t="str">
        <f t="shared" si="31"/>
        <v>4.1.2 Voll-, Hochloch-, Füllziegel - rho 1 600  [0,68]</v>
      </c>
      <c r="R192" s="338">
        <f t="shared" si="32"/>
        <v>0.68</v>
      </c>
      <c r="S192" s="1118" t="s">
        <v>1696</v>
      </c>
      <c r="T192" s="339" t="str">
        <f t="shared" si="35"/>
        <v xml:space="preserve">- rho 1 600 </v>
      </c>
      <c r="U192" s="339" t="str">
        <f t="shared" si="33"/>
        <v>[0,68]</v>
      </c>
    </row>
    <row r="193" spans="2:22" hidden="1">
      <c r="D193" s="228" t="str">
        <f t="shared" si="52"/>
        <v>4.1.2 Vollziegel, Hochlochziegel, Füllziegel - NM/DM</v>
      </c>
      <c r="F193" s="213" t="s">
        <v>1360</v>
      </c>
      <c r="G193" s="213">
        <v>0.81</v>
      </c>
      <c r="H193" s="228" t="str">
        <f t="shared" si="54"/>
        <v xml:space="preserve">5/10 </v>
      </c>
      <c r="K193" s="1073"/>
      <c r="O193" s="324" t="str">
        <f t="shared" si="29"/>
        <v/>
      </c>
      <c r="P193" s="324" t="str">
        <f>IF(ISERROR(VALUE((LEFT(B200,1))))=FALSE,B200,"")</f>
        <v/>
      </c>
      <c r="Q193" s="324" t="str">
        <f t="shared" si="31"/>
        <v>4.1.2 Voll-, Hochloch-, Füllziegel - rho 1 800  [0,81]</v>
      </c>
      <c r="R193" s="338">
        <f t="shared" si="32"/>
        <v>0.81</v>
      </c>
      <c r="S193" s="1118" t="s">
        <v>1696</v>
      </c>
      <c r="T193" s="339" t="str">
        <f t="shared" si="35"/>
        <v xml:space="preserve">- rho 1 800 </v>
      </c>
      <c r="U193" s="339" t="str">
        <f t="shared" si="33"/>
        <v>[0,81]</v>
      </c>
    </row>
    <row r="194" spans="2:22" hidden="1">
      <c r="D194" s="228" t="str">
        <f t="shared" si="52"/>
        <v>4.1.2 Vollziegel, Hochlochziegel, Füllziegel - NM/DM</v>
      </c>
      <c r="F194" s="213" t="s">
        <v>1361</v>
      </c>
      <c r="G194" s="213">
        <v>0.96</v>
      </c>
      <c r="H194" s="228" t="str">
        <f t="shared" si="54"/>
        <v xml:space="preserve">5/10 </v>
      </c>
      <c r="K194" s="1073"/>
      <c r="O194" s="324" t="str">
        <f t="shared" si="29"/>
        <v/>
      </c>
      <c r="P194" s="324" t="str">
        <f>IF(ISERROR(VALUE((LEFT(B201,1))))=FALSE,B201,"")</f>
        <v/>
      </c>
      <c r="Q194" s="324" t="str">
        <f t="shared" si="31"/>
        <v>4.1.2 Voll-, Hochloch-, Füllziegel - rho 2 000  [0,96]</v>
      </c>
      <c r="R194" s="338">
        <f t="shared" si="32"/>
        <v>0.96</v>
      </c>
      <c r="S194" s="1118" t="s">
        <v>1696</v>
      </c>
      <c r="T194" s="339" t="str">
        <f t="shared" si="35"/>
        <v xml:space="preserve">- rho 2 000 </v>
      </c>
      <c r="U194" s="339" t="str">
        <f t="shared" si="33"/>
        <v>[0,96]</v>
      </c>
    </row>
    <row r="195" spans="2:22" hidden="1">
      <c r="D195" s="228" t="str">
        <f t="shared" si="52"/>
        <v>4.1.2 Vollziegel, Hochlochziegel, Füllziegel - NM/DM</v>
      </c>
      <c r="F195" s="213" t="s">
        <v>3449</v>
      </c>
      <c r="G195" s="213">
        <v>1.2</v>
      </c>
      <c r="H195" s="228" t="str">
        <f t="shared" si="54"/>
        <v xml:space="preserve">5/10 </v>
      </c>
      <c r="K195" s="1073"/>
      <c r="O195" s="324" t="str">
        <f t="shared" ref="O195:O254" si="55">IF(A195&gt;0,A195,"")</f>
        <v/>
      </c>
      <c r="P195" s="324" t="str">
        <f>IF(ISERROR(VALUE((LEFT(B202,1))))=FALSE,B202,"")</f>
        <v/>
      </c>
      <c r="Q195" s="324" t="str">
        <f t="shared" ref="Q195:Q254" si="56">IF(S195&gt;0,S195,"")&amp;IF(T195&lt;&gt;""," "&amp;T195,"")&amp;IF(U195&lt;&gt;""," "&amp;U195,"")&amp;IF(V195&lt;&gt;""," "&amp;V195,"")</f>
        <v>4.1.2 Voll-, Hochloch-, Füllziegel - rho 2 200  [1,2]</v>
      </c>
      <c r="R195" s="338">
        <f t="shared" ref="R195:R254" si="57">G195</f>
        <v>1.2</v>
      </c>
      <c r="S195" s="1118" t="s">
        <v>1696</v>
      </c>
      <c r="T195" s="339" t="str">
        <f t="shared" si="35"/>
        <v xml:space="preserve">- rho 2 200 </v>
      </c>
      <c r="U195" s="339" t="str">
        <f t="shared" ref="U195:U254" si="58">IF(G195&gt;0,"["&amp;G195&amp;"]","")</f>
        <v>[1,2]</v>
      </c>
    </row>
    <row r="196" spans="2:22" hidden="1">
      <c r="D196" s="228" t="str">
        <f t="shared" si="52"/>
        <v>4.1.2 Vollziegel, Hochlochziegel, Füllziegel - NM/DM</v>
      </c>
      <c r="F196" s="213" t="s">
        <v>3450</v>
      </c>
      <c r="G196" s="213">
        <v>1.4</v>
      </c>
      <c r="H196" s="228" t="str">
        <f t="shared" si="54"/>
        <v xml:space="preserve">5/10 </v>
      </c>
      <c r="K196" s="1073"/>
      <c r="O196" s="324" t="str">
        <f t="shared" si="55"/>
        <v/>
      </c>
      <c r="P196" s="324" t="str">
        <f t="shared" ref="P196:P255" si="59">IF(ISERROR(VALUE((LEFT(B196,1))))=FALSE,B196,"")</f>
        <v/>
      </c>
      <c r="Q196" s="324" t="str">
        <f t="shared" si="56"/>
        <v>4.1.2 Voll-, Hochloch-, Füllziegel - rho 2 400  [1,4]</v>
      </c>
      <c r="R196" s="338">
        <f t="shared" si="57"/>
        <v>1.4</v>
      </c>
      <c r="S196" s="1118" t="s">
        <v>1696</v>
      </c>
      <c r="T196" s="339" t="str">
        <f t="shared" si="35"/>
        <v xml:space="preserve">- rho 2 400 </v>
      </c>
      <c r="U196" s="339" t="str">
        <f t="shared" si="58"/>
        <v>[1,4]</v>
      </c>
    </row>
    <row r="197" spans="2:22" hidden="1">
      <c r="B197" s="213" t="s">
        <v>1408</v>
      </c>
      <c r="D197" s="213" t="s">
        <v>3302</v>
      </c>
      <c r="F197" s="213" t="s">
        <v>1368</v>
      </c>
      <c r="G197" s="213">
        <v>0.27</v>
      </c>
      <c r="H197" s="213" t="s">
        <v>1365</v>
      </c>
      <c r="I197" s="213" t="s">
        <v>1176</v>
      </c>
      <c r="K197" s="1073"/>
      <c r="O197" s="324" t="str">
        <f t="shared" si="55"/>
        <v/>
      </c>
      <c r="P197" s="324" t="str">
        <f t="shared" si="59"/>
        <v>4.1.3  Hochlochziegel</v>
      </c>
      <c r="Q197" s="324" t="str">
        <f t="shared" si="56"/>
        <v>4.1.3  Hochlochziegel - LB21/LM36 - rho 550  [0,27] (HLzA und HLzB )</v>
      </c>
      <c r="R197" s="338">
        <f t="shared" si="57"/>
        <v>0.27</v>
      </c>
      <c r="S197" s="1119" t="str">
        <f>SUBSTITUTE(D197,"HLzA und HLzB ","")</f>
        <v>4.1.3  Hochlochziegel - LB21/LM36</v>
      </c>
      <c r="T197" s="339" t="str">
        <f t="shared" si="35"/>
        <v xml:space="preserve">- rho 550 </v>
      </c>
      <c r="U197" s="339" t="str">
        <f t="shared" si="58"/>
        <v>[0,27]</v>
      </c>
      <c r="V197" s="1118" t="s">
        <v>3343</v>
      </c>
    </row>
    <row r="198" spans="2:22" ht="12" hidden="1" customHeight="1">
      <c r="B198" s="1271" t="s">
        <v>3299</v>
      </c>
      <c r="C198" s="1271"/>
      <c r="D198" s="228" t="str">
        <f t="shared" si="52"/>
        <v>4.1.3  Hochlochziegel HLzA und HLzB - LB21/LM36</v>
      </c>
      <c r="F198" s="213" t="s">
        <v>1369</v>
      </c>
      <c r="G198" s="213">
        <v>0.28000000000000003</v>
      </c>
      <c r="H198" s="228" t="str">
        <f t="shared" ref="H198:H206" si="60">H197</f>
        <v xml:space="preserve">5/10 </v>
      </c>
      <c r="K198" s="1073"/>
      <c r="O198" s="324" t="str">
        <f t="shared" si="55"/>
        <v/>
      </c>
      <c r="P198" s="324" t="str">
        <f t="shared" si="59"/>
        <v/>
      </c>
      <c r="Q198" s="324" t="str">
        <f t="shared" si="56"/>
        <v>4.1.3  Hochlochziegel - LB21/LM36 - rho 600  [0,28] (HLzA und HLzB )</v>
      </c>
      <c r="R198" s="338">
        <f t="shared" si="57"/>
        <v>0.28000000000000003</v>
      </c>
      <c r="S198" s="1119" t="str">
        <f t="shared" ref="S198:S216" si="61">SUBSTITUTE(D198,"HLzA und HLzB ","")</f>
        <v>4.1.3  Hochlochziegel - LB21/LM36</v>
      </c>
      <c r="T198" s="339" t="str">
        <f t="shared" si="35"/>
        <v xml:space="preserve">- rho 600 </v>
      </c>
      <c r="U198" s="339" t="str">
        <f t="shared" si="58"/>
        <v>[0,28]</v>
      </c>
      <c r="V198" s="1118" t="s">
        <v>3343</v>
      </c>
    </row>
    <row r="199" spans="2:22" hidden="1">
      <c r="B199" s="1271"/>
      <c r="C199" s="1271"/>
      <c r="D199" s="228" t="str">
        <f t="shared" si="52"/>
        <v>4.1.3  Hochlochziegel HLzA und HLzB - LB21/LM36</v>
      </c>
      <c r="F199" s="213" t="s">
        <v>1370</v>
      </c>
      <c r="G199" s="213">
        <v>0.3</v>
      </c>
      <c r="H199" s="228" t="str">
        <f t="shared" si="60"/>
        <v xml:space="preserve">5/10 </v>
      </c>
      <c r="K199" s="1073"/>
      <c r="O199" s="324" t="str">
        <f t="shared" si="55"/>
        <v/>
      </c>
      <c r="P199" s="324" t="str">
        <f t="shared" si="59"/>
        <v/>
      </c>
      <c r="Q199" s="324" t="str">
        <f t="shared" si="56"/>
        <v>4.1.3  Hochlochziegel - LB21/LM36 - rho 650  [0,3] (HLzA und HLzB )</v>
      </c>
      <c r="R199" s="338">
        <f t="shared" si="57"/>
        <v>0.3</v>
      </c>
      <c r="S199" s="1119" t="str">
        <f t="shared" si="61"/>
        <v>4.1.3  Hochlochziegel - LB21/LM36</v>
      </c>
      <c r="T199" s="339" t="str">
        <f t="shared" si="35"/>
        <v xml:space="preserve">- rho 650 </v>
      </c>
      <c r="U199" s="339" t="str">
        <f t="shared" si="58"/>
        <v>[0,3]</v>
      </c>
      <c r="V199" s="1118" t="s">
        <v>3343</v>
      </c>
    </row>
    <row r="200" spans="2:22" hidden="1">
      <c r="D200" s="228" t="str">
        <f t="shared" si="52"/>
        <v>4.1.3  Hochlochziegel HLzA und HLzB - LB21/LM36</v>
      </c>
      <c r="F200" s="213" t="s">
        <v>1199</v>
      </c>
      <c r="G200" s="213">
        <v>0.31</v>
      </c>
      <c r="H200" s="228" t="str">
        <f t="shared" si="60"/>
        <v xml:space="preserve">5/10 </v>
      </c>
      <c r="K200" s="1073"/>
      <c r="O200" s="324" t="str">
        <f t="shared" si="55"/>
        <v/>
      </c>
      <c r="P200" s="324" t="str">
        <f t="shared" si="59"/>
        <v/>
      </c>
      <c r="Q200" s="324" t="str">
        <f t="shared" si="56"/>
        <v>4.1.3  Hochlochziegel - LB21/LM36 - rho 700  [0,31] (HLzA und HLzB )</v>
      </c>
      <c r="R200" s="338">
        <f t="shared" si="57"/>
        <v>0.31</v>
      </c>
      <c r="S200" s="1119" t="str">
        <f t="shared" si="61"/>
        <v>4.1.3  Hochlochziegel - LB21/LM36</v>
      </c>
      <c r="T200" s="339" t="str">
        <f t="shared" si="35"/>
        <v xml:space="preserve">- rho 700 </v>
      </c>
      <c r="U200" s="339" t="str">
        <f t="shared" si="58"/>
        <v>[0,31]</v>
      </c>
      <c r="V200" s="1118" t="s">
        <v>3343</v>
      </c>
    </row>
    <row r="201" spans="2:22" hidden="1">
      <c r="D201" s="228" t="str">
        <f t="shared" si="52"/>
        <v>4.1.3  Hochlochziegel HLzA und HLzB - LB21/LM36</v>
      </c>
      <c r="F201" s="213" t="s">
        <v>1371</v>
      </c>
      <c r="G201" s="213">
        <v>0.33</v>
      </c>
      <c r="H201" s="228" t="str">
        <f t="shared" si="60"/>
        <v xml:space="preserve">5/10 </v>
      </c>
      <c r="K201" s="1073"/>
      <c r="O201" s="324" t="str">
        <f t="shared" si="55"/>
        <v/>
      </c>
      <c r="P201" s="324" t="str">
        <f t="shared" si="59"/>
        <v/>
      </c>
      <c r="Q201" s="324" t="str">
        <f t="shared" si="56"/>
        <v>4.1.3  Hochlochziegel - LB21/LM36 - rho 750  [0,33] (HLzA und HLzB )</v>
      </c>
      <c r="R201" s="338">
        <f t="shared" si="57"/>
        <v>0.33</v>
      </c>
      <c r="S201" s="1119" t="str">
        <f t="shared" si="61"/>
        <v>4.1.3  Hochlochziegel - LB21/LM36</v>
      </c>
      <c r="T201" s="339" t="str">
        <f t="shared" si="35"/>
        <v xml:space="preserve">- rho 750 </v>
      </c>
      <c r="U201" s="339" t="str">
        <f t="shared" si="58"/>
        <v>[0,33]</v>
      </c>
      <c r="V201" s="1118" t="s">
        <v>3343</v>
      </c>
    </row>
    <row r="202" spans="2:22" hidden="1">
      <c r="D202" s="228" t="str">
        <f t="shared" si="52"/>
        <v>4.1.3  Hochlochziegel HLzA und HLzB - LB21/LM36</v>
      </c>
      <c r="F202" s="213" t="s">
        <v>1353</v>
      </c>
      <c r="G202" s="213">
        <v>0.34</v>
      </c>
      <c r="H202" s="228" t="str">
        <f t="shared" si="60"/>
        <v xml:space="preserve">5/10 </v>
      </c>
      <c r="K202" s="1073"/>
      <c r="O202" s="324" t="str">
        <f t="shared" si="55"/>
        <v/>
      </c>
      <c r="P202" s="324" t="str">
        <f t="shared" si="59"/>
        <v/>
      </c>
      <c r="Q202" s="324" t="str">
        <f t="shared" si="56"/>
        <v>4.1.3  Hochlochziegel - LB21/LM36 - rho 800  [0,34] (HLzA und HLzB )</v>
      </c>
      <c r="R202" s="338">
        <f t="shared" si="57"/>
        <v>0.34</v>
      </c>
      <c r="S202" s="1119" t="str">
        <f t="shared" si="61"/>
        <v>4.1.3  Hochlochziegel - LB21/LM36</v>
      </c>
      <c r="T202" s="339" t="str">
        <f t="shared" si="35"/>
        <v xml:space="preserve">- rho 800 </v>
      </c>
      <c r="U202" s="339" t="str">
        <f t="shared" si="58"/>
        <v>[0,34]</v>
      </c>
      <c r="V202" s="1118" t="s">
        <v>3343</v>
      </c>
    </row>
    <row r="203" spans="2:22" hidden="1">
      <c r="D203" s="228" t="str">
        <f t="shared" si="52"/>
        <v>4.1.3  Hochlochziegel HLzA und HLzB - LB21/LM36</v>
      </c>
      <c r="F203" s="213" t="s">
        <v>1409</v>
      </c>
      <c r="G203" s="213">
        <v>0.36</v>
      </c>
      <c r="H203" s="228" t="str">
        <f t="shared" si="60"/>
        <v xml:space="preserve">5/10 </v>
      </c>
      <c r="K203" s="1073"/>
      <c r="O203" s="324" t="str">
        <f t="shared" si="55"/>
        <v/>
      </c>
      <c r="P203" s="324" t="str">
        <f t="shared" si="59"/>
        <v/>
      </c>
      <c r="Q203" s="324" t="str">
        <f t="shared" si="56"/>
        <v>4.1.3  Hochlochziegel - LB21/LM36 - rho 850  [0,36] (HLzA und HLzB )</v>
      </c>
      <c r="R203" s="338">
        <f t="shared" si="57"/>
        <v>0.36</v>
      </c>
      <c r="S203" s="1119" t="str">
        <f t="shared" si="61"/>
        <v>4.1.3  Hochlochziegel - LB21/LM36</v>
      </c>
      <c r="T203" s="339" t="str">
        <f t="shared" si="35"/>
        <v xml:space="preserve">- rho 850 </v>
      </c>
      <c r="U203" s="339" t="str">
        <f t="shared" si="58"/>
        <v>[0,36]</v>
      </c>
      <c r="V203" s="1118" t="s">
        <v>3343</v>
      </c>
    </row>
    <row r="204" spans="2:22" hidden="1">
      <c r="D204" s="228" t="str">
        <f t="shared" si="52"/>
        <v>4.1.3  Hochlochziegel HLzA und HLzB - LB21/LM36</v>
      </c>
      <c r="F204" s="213" t="s">
        <v>1355</v>
      </c>
      <c r="G204" s="213">
        <v>0.37</v>
      </c>
      <c r="H204" s="228" t="str">
        <f t="shared" si="60"/>
        <v xml:space="preserve">5/10 </v>
      </c>
      <c r="K204" s="1073"/>
      <c r="O204" s="324" t="str">
        <f t="shared" si="55"/>
        <v/>
      </c>
      <c r="P204" s="324" t="str">
        <f t="shared" si="59"/>
        <v/>
      </c>
      <c r="Q204" s="324" t="str">
        <f t="shared" si="56"/>
        <v>4.1.3  Hochlochziegel - LB21/LM36 - rho 900  [0,37] (HLzA und HLzB )</v>
      </c>
      <c r="R204" s="338">
        <f t="shared" si="57"/>
        <v>0.37</v>
      </c>
      <c r="S204" s="1119" t="str">
        <f t="shared" si="61"/>
        <v>4.1.3  Hochlochziegel - LB21/LM36</v>
      </c>
      <c r="T204" s="339" t="str">
        <f t="shared" si="35"/>
        <v xml:space="preserve">- rho 900 </v>
      </c>
      <c r="U204" s="339" t="str">
        <f t="shared" si="58"/>
        <v>[0,37]</v>
      </c>
      <c r="V204" s="1118" t="s">
        <v>3343</v>
      </c>
    </row>
    <row r="205" spans="2:22" hidden="1">
      <c r="D205" s="228" t="str">
        <f t="shared" si="52"/>
        <v>4.1.3  Hochlochziegel HLzA und HLzB - LB21/LM36</v>
      </c>
      <c r="F205" s="213" t="s">
        <v>1410</v>
      </c>
      <c r="G205" s="213">
        <v>0.38</v>
      </c>
      <c r="H205" s="228" t="str">
        <f t="shared" si="60"/>
        <v xml:space="preserve">5/10 </v>
      </c>
      <c r="K205" s="1073"/>
      <c r="O205" s="324" t="str">
        <f t="shared" si="55"/>
        <v/>
      </c>
      <c r="P205" s="324" t="str">
        <f t="shared" si="59"/>
        <v/>
      </c>
      <c r="Q205" s="324" t="str">
        <f t="shared" si="56"/>
        <v>4.1.3  Hochlochziegel - LB21/LM36 - rho 950  [0,38] (HLzA und HLzB )</v>
      </c>
      <c r="R205" s="338">
        <f t="shared" si="57"/>
        <v>0.38</v>
      </c>
      <c r="S205" s="1119" t="str">
        <f t="shared" si="61"/>
        <v>4.1.3  Hochlochziegel - LB21/LM36</v>
      </c>
      <c r="T205" s="339" t="str">
        <f t="shared" si="35"/>
        <v xml:space="preserve">- rho 950 </v>
      </c>
      <c r="U205" s="339" t="str">
        <f t="shared" si="58"/>
        <v>[0,38]</v>
      </c>
      <c r="V205" s="1118" t="s">
        <v>3343</v>
      </c>
    </row>
    <row r="206" spans="2:22" hidden="1">
      <c r="D206" s="228" t="str">
        <f t="shared" si="52"/>
        <v>4.1.3  Hochlochziegel HLzA und HLzB - LB21/LM36</v>
      </c>
      <c r="F206" s="213" t="s">
        <v>1200</v>
      </c>
      <c r="G206" s="213">
        <v>0.4</v>
      </c>
      <c r="H206" s="228" t="str">
        <f t="shared" si="60"/>
        <v xml:space="preserve">5/10 </v>
      </c>
      <c r="K206" s="1073"/>
      <c r="O206" s="324" t="str">
        <f t="shared" si="55"/>
        <v/>
      </c>
      <c r="P206" s="324" t="str">
        <f t="shared" si="59"/>
        <v/>
      </c>
      <c r="Q206" s="324" t="str">
        <f t="shared" si="56"/>
        <v>4.1.3  Hochlochziegel - LB21/LM36 - rho 1 000  [0,4] (HLzA und HLzB )</v>
      </c>
      <c r="R206" s="338">
        <f t="shared" si="57"/>
        <v>0.4</v>
      </c>
      <c r="S206" s="1119" t="str">
        <f t="shared" si="61"/>
        <v>4.1.3  Hochlochziegel - LB21/LM36</v>
      </c>
      <c r="T206" s="339" t="str">
        <f t="shared" si="35"/>
        <v xml:space="preserve">- rho 1 000 </v>
      </c>
      <c r="U206" s="339" t="str">
        <f t="shared" si="58"/>
        <v>[0,4]</v>
      </c>
      <c r="V206" s="1118" t="s">
        <v>3343</v>
      </c>
    </row>
    <row r="207" spans="2:22" hidden="1">
      <c r="D207" s="229" t="s">
        <v>3303</v>
      </c>
      <c r="F207" s="213" t="s">
        <v>1368</v>
      </c>
      <c r="G207" s="213">
        <v>0.32</v>
      </c>
      <c r="H207" s="213" t="s">
        <v>1365</v>
      </c>
      <c r="I207" s="213" t="s">
        <v>1176</v>
      </c>
      <c r="K207" s="1073"/>
      <c r="O207" s="324" t="str">
        <f t="shared" si="55"/>
        <v/>
      </c>
      <c r="P207" s="324" t="str">
        <f t="shared" si="59"/>
        <v/>
      </c>
      <c r="Q207" s="324" t="str">
        <f t="shared" si="56"/>
        <v>4.1.3  Hochlochziegel - NM/DM - rho 550  [0,32] (HLzA und HLzB )</v>
      </c>
      <c r="R207" s="338">
        <f t="shared" si="57"/>
        <v>0.32</v>
      </c>
      <c r="S207" s="1119" t="str">
        <f t="shared" si="61"/>
        <v>4.1.3  Hochlochziegel - NM/DM</v>
      </c>
      <c r="T207" s="339" t="str">
        <f t="shared" si="35"/>
        <v xml:space="preserve">- rho 550 </v>
      </c>
      <c r="U207" s="339" t="str">
        <f t="shared" si="58"/>
        <v>[0,32]</v>
      </c>
      <c r="V207" s="1118" t="s">
        <v>3343</v>
      </c>
    </row>
    <row r="208" spans="2:22" hidden="1">
      <c r="D208" s="228" t="str">
        <f t="shared" si="52"/>
        <v>4.1.3  Hochlochziegel HLzA und HLzB - NM/DM</v>
      </c>
      <c r="F208" s="213" t="s">
        <v>1369</v>
      </c>
      <c r="G208" s="213">
        <v>0.33</v>
      </c>
      <c r="H208" s="228" t="str">
        <f t="shared" ref="H208:H216" si="62">H207</f>
        <v xml:space="preserve">5/10 </v>
      </c>
      <c r="K208" s="1073"/>
      <c r="O208" s="324" t="str">
        <f t="shared" si="55"/>
        <v/>
      </c>
      <c r="P208" s="324" t="str">
        <f t="shared" si="59"/>
        <v/>
      </c>
      <c r="Q208" s="324" t="str">
        <f t="shared" si="56"/>
        <v>4.1.3  Hochlochziegel - NM/DM - rho 600  [0,33] (HLzA und HLzB )</v>
      </c>
      <c r="R208" s="338">
        <f t="shared" si="57"/>
        <v>0.33</v>
      </c>
      <c r="S208" s="1119" t="str">
        <f t="shared" si="61"/>
        <v>4.1.3  Hochlochziegel - NM/DM</v>
      </c>
      <c r="T208" s="339" t="str">
        <f t="shared" si="35"/>
        <v xml:space="preserve">- rho 600 </v>
      </c>
      <c r="U208" s="339" t="str">
        <f t="shared" si="58"/>
        <v>[0,33]</v>
      </c>
      <c r="V208" s="1118" t="s">
        <v>3343</v>
      </c>
    </row>
    <row r="209" spans="2:22" hidden="1">
      <c r="D209" s="228" t="str">
        <f t="shared" si="52"/>
        <v>4.1.3  Hochlochziegel HLzA und HLzB - NM/DM</v>
      </c>
      <c r="F209" s="213" t="s">
        <v>1370</v>
      </c>
      <c r="G209" s="213">
        <v>0.35</v>
      </c>
      <c r="H209" s="228" t="str">
        <f t="shared" si="62"/>
        <v xml:space="preserve">5/10 </v>
      </c>
      <c r="K209" s="1073"/>
      <c r="O209" s="324" t="str">
        <f t="shared" si="55"/>
        <v/>
      </c>
      <c r="P209" s="324" t="str">
        <f t="shared" si="59"/>
        <v/>
      </c>
      <c r="Q209" s="324" t="str">
        <f t="shared" si="56"/>
        <v>4.1.3  Hochlochziegel - NM/DM - rho 650  [0,35] (HLzA und HLzB )</v>
      </c>
      <c r="R209" s="338">
        <f t="shared" si="57"/>
        <v>0.35</v>
      </c>
      <c r="S209" s="1119" t="str">
        <f t="shared" si="61"/>
        <v>4.1.3  Hochlochziegel - NM/DM</v>
      </c>
      <c r="T209" s="339" t="str">
        <f t="shared" si="35"/>
        <v xml:space="preserve">- rho 650 </v>
      </c>
      <c r="U209" s="339" t="str">
        <f t="shared" si="58"/>
        <v>[0,35]</v>
      </c>
      <c r="V209" s="1118" t="s">
        <v>3343</v>
      </c>
    </row>
    <row r="210" spans="2:22" hidden="1">
      <c r="D210" s="228" t="str">
        <f t="shared" si="52"/>
        <v>4.1.3  Hochlochziegel HLzA und HLzB - NM/DM</v>
      </c>
      <c r="F210" s="213" t="s">
        <v>1199</v>
      </c>
      <c r="G210" s="213">
        <v>0.36</v>
      </c>
      <c r="H210" s="228" t="str">
        <f t="shared" si="62"/>
        <v xml:space="preserve">5/10 </v>
      </c>
      <c r="K210" s="1073"/>
      <c r="O210" s="324" t="str">
        <f t="shared" si="55"/>
        <v/>
      </c>
      <c r="P210" s="324" t="str">
        <f t="shared" si="59"/>
        <v/>
      </c>
      <c r="Q210" s="324" t="str">
        <f t="shared" si="56"/>
        <v>4.1.3  Hochlochziegel - NM/DM - rho 700  [0,36] (HLzA und HLzB )</v>
      </c>
      <c r="R210" s="338">
        <f t="shared" si="57"/>
        <v>0.36</v>
      </c>
      <c r="S210" s="1119" t="str">
        <f t="shared" si="61"/>
        <v>4.1.3  Hochlochziegel - NM/DM</v>
      </c>
      <c r="T210" s="339" t="str">
        <f t="shared" si="35"/>
        <v xml:space="preserve">- rho 700 </v>
      </c>
      <c r="U210" s="339" t="str">
        <f t="shared" si="58"/>
        <v>[0,36]</v>
      </c>
      <c r="V210" s="1118" t="s">
        <v>3343</v>
      </c>
    </row>
    <row r="211" spans="2:22" hidden="1">
      <c r="D211" s="228" t="str">
        <f t="shared" si="52"/>
        <v>4.1.3  Hochlochziegel HLzA und HLzB - NM/DM</v>
      </c>
      <c r="F211" s="213" t="s">
        <v>1371</v>
      </c>
      <c r="G211" s="213">
        <v>0.38</v>
      </c>
      <c r="H211" s="228" t="str">
        <f t="shared" si="62"/>
        <v xml:space="preserve">5/10 </v>
      </c>
      <c r="K211" s="1073"/>
      <c r="O211" s="324" t="str">
        <f t="shared" si="55"/>
        <v/>
      </c>
      <c r="P211" s="324" t="str">
        <f t="shared" si="59"/>
        <v/>
      </c>
      <c r="Q211" s="324" t="str">
        <f t="shared" si="56"/>
        <v>4.1.3  Hochlochziegel - NM/DM - rho 750  [0,38] (HLzA und HLzB )</v>
      </c>
      <c r="R211" s="338">
        <f t="shared" si="57"/>
        <v>0.38</v>
      </c>
      <c r="S211" s="1119" t="str">
        <f t="shared" si="61"/>
        <v>4.1.3  Hochlochziegel - NM/DM</v>
      </c>
      <c r="T211" s="339" t="str">
        <f t="shared" si="35"/>
        <v xml:space="preserve">- rho 750 </v>
      </c>
      <c r="U211" s="339" t="str">
        <f t="shared" si="58"/>
        <v>[0,38]</v>
      </c>
      <c r="V211" s="1118" t="s">
        <v>3343</v>
      </c>
    </row>
    <row r="212" spans="2:22" hidden="1">
      <c r="D212" s="228" t="str">
        <f t="shared" si="52"/>
        <v>4.1.3  Hochlochziegel HLzA und HLzB - NM/DM</v>
      </c>
      <c r="F212" s="213" t="s">
        <v>1353</v>
      </c>
      <c r="G212" s="213">
        <v>0.39</v>
      </c>
      <c r="H212" s="228" t="str">
        <f t="shared" si="62"/>
        <v xml:space="preserve">5/10 </v>
      </c>
      <c r="K212" s="1073"/>
      <c r="O212" s="324" t="str">
        <f t="shared" si="55"/>
        <v/>
      </c>
      <c r="P212" s="324" t="str">
        <f t="shared" si="59"/>
        <v/>
      </c>
      <c r="Q212" s="324" t="str">
        <f t="shared" si="56"/>
        <v>4.1.3  Hochlochziegel - NM/DM - rho 800  [0,39] (HLzA und HLzB )</v>
      </c>
      <c r="R212" s="338">
        <f t="shared" si="57"/>
        <v>0.39</v>
      </c>
      <c r="S212" s="1119" t="str">
        <f t="shared" si="61"/>
        <v>4.1.3  Hochlochziegel - NM/DM</v>
      </c>
      <c r="T212" s="339" t="str">
        <f t="shared" si="35"/>
        <v xml:space="preserve">- rho 800 </v>
      </c>
      <c r="U212" s="339" t="str">
        <f t="shared" si="58"/>
        <v>[0,39]</v>
      </c>
      <c r="V212" s="1118" t="s">
        <v>3343</v>
      </c>
    </row>
    <row r="213" spans="2:22" hidden="1">
      <c r="D213" s="228" t="str">
        <f t="shared" si="52"/>
        <v>4.1.3  Hochlochziegel HLzA und HLzB - NM/DM</v>
      </c>
      <c r="F213" s="213" t="s">
        <v>1409</v>
      </c>
      <c r="G213" s="213">
        <v>0.41</v>
      </c>
      <c r="H213" s="228" t="str">
        <f t="shared" si="62"/>
        <v xml:space="preserve">5/10 </v>
      </c>
      <c r="K213" s="1073"/>
      <c r="O213" s="324" t="str">
        <f t="shared" si="55"/>
        <v/>
      </c>
      <c r="P213" s="324" t="str">
        <f t="shared" si="59"/>
        <v/>
      </c>
      <c r="Q213" s="324" t="str">
        <f t="shared" si="56"/>
        <v>4.1.3  Hochlochziegel - NM/DM - rho 850  [0,41] (HLzA und HLzB )</v>
      </c>
      <c r="R213" s="338">
        <f t="shared" si="57"/>
        <v>0.41</v>
      </c>
      <c r="S213" s="1119" t="str">
        <f t="shared" si="61"/>
        <v>4.1.3  Hochlochziegel - NM/DM</v>
      </c>
      <c r="T213" s="339" t="str">
        <f t="shared" si="35"/>
        <v xml:space="preserve">- rho 850 </v>
      </c>
      <c r="U213" s="339" t="str">
        <f t="shared" si="58"/>
        <v>[0,41]</v>
      </c>
      <c r="V213" s="1118" t="s">
        <v>3343</v>
      </c>
    </row>
    <row r="214" spans="2:22" hidden="1">
      <c r="D214" s="228" t="str">
        <f t="shared" si="52"/>
        <v>4.1.3  Hochlochziegel HLzA und HLzB - NM/DM</v>
      </c>
      <c r="F214" s="213" t="s">
        <v>1355</v>
      </c>
      <c r="G214" s="213">
        <v>0.42</v>
      </c>
      <c r="H214" s="228" t="str">
        <f t="shared" si="62"/>
        <v xml:space="preserve">5/10 </v>
      </c>
      <c r="K214" s="1073"/>
      <c r="O214" s="324" t="str">
        <f t="shared" si="55"/>
        <v/>
      </c>
      <c r="P214" s="324" t="str">
        <f t="shared" si="59"/>
        <v/>
      </c>
      <c r="Q214" s="324" t="str">
        <f t="shared" si="56"/>
        <v>4.1.3  Hochlochziegel - NM/DM - rho 900  [0,42] (HLzA und HLzB )</v>
      </c>
      <c r="R214" s="338">
        <f t="shared" si="57"/>
        <v>0.42</v>
      </c>
      <c r="S214" s="1119" t="str">
        <f t="shared" si="61"/>
        <v>4.1.3  Hochlochziegel - NM/DM</v>
      </c>
      <c r="T214" s="339" t="str">
        <f t="shared" si="35"/>
        <v xml:space="preserve">- rho 900 </v>
      </c>
      <c r="U214" s="339" t="str">
        <f t="shared" si="58"/>
        <v>[0,42]</v>
      </c>
      <c r="V214" s="1118" t="s">
        <v>3343</v>
      </c>
    </row>
    <row r="215" spans="2:22" hidden="1">
      <c r="D215" s="228" t="str">
        <f t="shared" si="52"/>
        <v>4.1.3  Hochlochziegel HLzA und HLzB - NM/DM</v>
      </c>
      <c r="F215" s="213" t="s">
        <v>1410</v>
      </c>
      <c r="G215" s="213">
        <v>0.44</v>
      </c>
      <c r="H215" s="228" t="str">
        <f t="shared" si="62"/>
        <v xml:space="preserve">5/10 </v>
      </c>
      <c r="K215" s="1073"/>
      <c r="O215" s="324" t="str">
        <f t="shared" si="55"/>
        <v/>
      </c>
      <c r="P215" s="324" t="str">
        <f t="shared" si="59"/>
        <v/>
      </c>
      <c r="Q215" s="324" t="str">
        <f t="shared" si="56"/>
        <v>4.1.3  Hochlochziegel - NM/DM - rho 950  [0,44] (HLzA und HLzB )</v>
      </c>
      <c r="R215" s="338">
        <f t="shared" si="57"/>
        <v>0.44</v>
      </c>
      <c r="S215" s="1119" t="str">
        <f t="shared" si="61"/>
        <v>4.1.3  Hochlochziegel - NM/DM</v>
      </c>
      <c r="T215" s="339" t="str">
        <f t="shared" si="35"/>
        <v xml:space="preserve">- rho 950 </v>
      </c>
      <c r="U215" s="339" t="str">
        <f t="shared" si="58"/>
        <v>[0,44]</v>
      </c>
      <c r="V215" s="1118" t="s">
        <v>3343</v>
      </c>
    </row>
    <row r="216" spans="2:22" hidden="1">
      <c r="D216" s="228" t="str">
        <f t="shared" si="52"/>
        <v>4.1.3  Hochlochziegel HLzA und HLzB - NM/DM</v>
      </c>
      <c r="F216" s="213" t="s">
        <v>1376</v>
      </c>
      <c r="G216" s="213">
        <v>0.45</v>
      </c>
      <c r="H216" s="228" t="str">
        <f t="shared" si="62"/>
        <v xml:space="preserve">5/10 </v>
      </c>
      <c r="K216" s="1073"/>
      <c r="O216" s="324" t="str">
        <f t="shared" si="55"/>
        <v/>
      </c>
      <c r="P216" s="324" t="str">
        <f t="shared" si="59"/>
        <v/>
      </c>
      <c r="Q216" s="324" t="str">
        <f t="shared" si="56"/>
        <v>4.1.3  Hochlochziegel - NM/DM - rho 1000  [0,45] (HLzA und HLzB )</v>
      </c>
      <c r="R216" s="338">
        <f t="shared" si="57"/>
        <v>0.45</v>
      </c>
      <c r="S216" s="1119" t="str">
        <f t="shared" si="61"/>
        <v>4.1.3  Hochlochziegel - NM/DM</v>
      </c>
      <c r="T216" s="339" t="str">
        <f t="shared" si="35"/>
        <v xml:space="preserve">- rho 1000 </v>
      </c>
      <c r="U216" s="339" t="str">
        <f t="shared" si="58"/>
        <v>[0,45]</v>
      </c>
      <c r="V216" s="1118" t="s">
        <v>3343</v>
      </c>
    </row>
    <row r="217" spans="2:22" hidden="1">
      <c r="B217" s="213" t="s">
        <v>3300</v>
      </c>
      <c r="D217" s="213" t="s">
        <v>3301</v>
      </c>
      <c r="F217" s="213" t="s">
        <v>1368</v>
      </c>
      <c r="G217" s="213">
        <v>0.19</v>
      </c>
      <c r="H217" s="213" t="s">
        <v>1365</v>
      </c>
      <c r="I217" s="213" t="s">
        <v>1176</v>
      </c>
      <c r="K217" s="1073"/>
      <c r="O217" s="324" t="str">
        <f t="shared" si="55"/>
        <v/>
      </c>
      <c r="P217" s="324" t="str">
        <f t="shared" si="59"/>
        <v>4.1.4  Hochlochziegel HLzW</v>
      </c>
      <c r="Q217" s="324" t="str">
        <f t="shared" si="56"/>
        <v>4.1.4  Hochlochziegel HLzW LM21/LM36 - rho 550  [0,19]</v>
      </c>
      <c r="R217" s="338">
        <f t="shared" si="57"/>
        <v>0.19</v>
      </c>
      <c r="S217" s="339" t="str">
        <f t="shared" ref="S217:S236" si="63">D217</f>
        <v>4.1.4  Hochlochziegel HLzW LM21/LM36</v>
      </c>
      <c r="T217" s="339" t="str">
        <f t="shared" si="35"/>
        <v xml:space="preserve">- rho 550 </v>
      </c>
      <c r="U217" s="339" t="str">
        <f t="shared" si="58"/>
        <v>[0,19]</v>
      </c>
    </row>
    <row r="218" spans="2:22" ht="12" hidden="1" customHeight="1">
      <c r="B218" s="1114"/>
      <c r="C218" s="1114"/>
      <c r="D218" s="228" t="str">
        <f t="shared" si="52"/>
        <v>4.1.4  Hochlochziegel HLzW LM21/LM36</v>
      </c>
      <c r="F218" s="213" t="s">
        <v>1369</v>
      </c>
      <c r="G218" s="213">
        <v>0.2</v>
      </c>
      <c r="H218" s="228" t="str">
        <f t="shared" ref="H218:H226" si="64">H217</f>
        <v xml:space="preserve">5/10 </v>
      </c>
      <c r="K218" s="1073"/>
      <c r="O218" s="324" t="str">
        <f t="shared" si="55"/>
        <v/>
      </c>
      <c r="P218" s="324" t="str">
        <f t="shared" si="59"/>
        <v/>
      </c>
      <c r="Q218" s="324" t="str">
        <f t="shared" si="56"/>
        <v>4.1.4  Hochlochziegel HLzW LM21/LM36 - rho 600  [0,2]</v>
      </c>
      <c r="R218" s="338">
        <f t="shared" si="57"/>
        <v>0.2</v>
      </c>
      <c r="S218" s="339" t="str">
        <f t="shared" si="63"/>
        <v>4.1.4  Hochlochziegel HLzW LM21/LM36</v>
      </c>
      <c r="T218" s="339" t="str">
        <f t="shared" si="35"/>
        <v xml:space="preserve">- rho 600 </v>
      </c>
      <c r="U218" s="339" t="str">
        <f t="shared" si="58"/>
        <v>[0,2]</v>
      </c>
    </row>
    <row r="219" spans="2:22" hidden="1">
      <c r="B219" s="1114"/>
      <c r="C219" s="1114"/>
      <c r="D219" s="228" t="str">
        <f t="shared" si="52"/>
        <v>4.1.4  Hochlochziegel HLzW LM21/LM36</v>
      </c>
      <c r="F219" s="213" t="s">
        <v>1370</v>
      </c>
      <c r="G219" s="213">
        <v>0.2</v>
      </c>
      <c r="H219" s="228" t="str">
        <f t="shared" si="64"/>
        <v xml:space="preserve">5/10 </v>
      </c>
      <c r="K219" s="1073"/>
      <c r="O219" s="324" t="str">
        <f t="shared" si="55"/>
        <v/>
      </c>
      <c r="P219" s="324" t="str">
        <f t="shared" si="59"/>
        <v/>
      </c>
      <c r="Q219" s="324" t="str">
        <f t="shared" si="56"/>
        <v>4.1.4  Hochlochziegel HLzW LM21/LM36 - rho 650  [0,2]</v>
      </c>
      <c r="R219" s="338">
        <f t="shared" si="57"/>
        <v>0.2</v>
      </c>
      <c r="S219" s="339" t="str">
        <f t="shared" si="63"/>
        <v>4.1.4  Hochlochziegel HLzW LM21/LM36</v>
      </c>
      <c r="T219" s="339" t="str">
        <f t="shared" si="35"/>
        <v xml:space="preserve">- rho 650 </v>
      </c>
      <c r="U219" s="339" t="str">
        <f t="shared" si="58"/>
        <v>[0,2]</v>
      </c>
    </row>
    <row r="220" spans="2:22" hidden="1">
      <c r="B220" s="1114"/>
      <c r="C220" s="1114"/>
      <c r="D220" s="228" t="str">
        <f t="shared" si="52"/>
        <v>4.1.4  Hochlochziegel HLzW LM21/LM36</v>
      </c>
      <c r="F220" s="213" t="s">
        <v>1199</v>
      </c>
      <c r="G220" s="213">
        <v>0.21</v>
      </c>
      <c r="H220" s="228" t="str">
        <f t="shared" si="64"/>
        <v xml:space="preserve">5/10 </v>
      </c>
      <c r="K220" s="1073"/>
      <c r="O220" s="324" t="str">
        <f t="shared" si="55"/>
        <v/>
      </c>
      <c r="P220" s="324" t="str">
        <f t="shared" si="59"/>
        <v/>
      </c>
      <c r="Q220" s="324" t="str">
        <f t="shared" si="56"/>
        <v>4.1.4  Hochlochziegel HLzW LM21/LM36 - rho 700  [0,21]</v>
      </c>
      <c r="R220" s="338">
        <f t="shared" si="57"/>
        <v>0.21</v>
      </c>
      <c r="S220" s="339" t="str">
        <f t="shared" si="63"/>
        <v>4.1.4  Hochlochziegel HLzW LM21/LM36</v>
      </c>
      <c r="T220" s="339" t="str">
        <f t="shared" si="35"/>
        <v xml:space="preserve">- rho 700 </v>
      </c>
      <c r="U220" s="339" t="str">
        <f t="shared" si="58"/>
        <v>[0,21]</v>
      </c>
    </row>
    <row r="221" spans="2:22" hidden="1">
      <c r="B221" s="1114"/>
      <c r="C221" s="1114"/>
      <c r="D221" s="228" t="str">
        <f t="shared" si="52"/>
        <v>4.1.4  Hochlochziegel HLzW LM21/LM36</v>
      </c>
      <c r="F221" s="213" t="s">
        <v>1371</v>
      </c>
      <c r="G221" s="213">
        <v>0.22</v>
      </c>
      <c r="H221" s="228" t="str">
        <f t="shared" si="64"/>
        <v xml:space="preserve">5/10 </v>
      </c>
      <c r="K221" s="1073"/>
      <c r="O221" s="324" t="str">
        <f t="shared" si="55"/>
        <v/>
      </c>
      <c r="P221" s="324" t="str">
        <f t="shared" si="59"/>
        <v/>
      </c>
      <c r="Q221" s="324" t="str">
        <f t="shared" si="56"/>
        <v>4.1.4  Hochlochziegel HLzW LM21/LM36 - rho 750  [0,22]</v>
      </c>
      <c r="R221" s="338">
        <f t="shared" si="57"/>
        <v>0.22</v>
      </c>
      <c r="S221" s="339" t="str">
        <f t="shared" si="63"/>
        <v>4.1.4  Hochlochziegel HLzW LM21/LM36</v>
      </c>
      <c r="T221" s="339" t="str">
        <f t="shared" si="35"/>
        <v xml:space="preserve">- rho 750 </v>
      </c>
      <c r="U221" s="339" t="str">
        <f t="shared" si="58"/>
        <v>[0,22]</v>
      </c>
    </row>
    <row r="222" spans="2:22" hidden="1">
      <c r="B222" s="1114"/>
      <c r="C222" s="1114"/>
      <c r="D222" s="228" t="str">
        <f t="shared" si="52"/>
        <v>4.1.4  Hochlochziegel HLzW LM21/LM36</v>
      </c>
      <c r="F222" s="213" t="s">
        <v>1353</v>
      </c>
      <c r="G222" s="213">
        <v>0.23</v>
      </c>
      <c r="H222" s="228" t="str">
        <f t="shared" si="64"/>
        <v xml:space="preserve">5/10 </v>
      </c>
      <c r="K222" s="1073"/>
      <c r="O222" s="324" t="str">
        <f t="shared" si="55"/>
        <v/>
      </c>
      <c r="P222" s="324" t="str">
        <f t="shared" si="59"/>
        <v/>
      </c>
      <c r="Q222" s="324" t="str">
        <f t="shared" si="56"/>
        <v>4.1.4  Hochlochziegel HLzW LM21/LM36 - rho 800  [0,23]</v>
      </c>
      <c r="R222" s="338">
        <f t="shared" si="57"/>
        <v>0.23</v>
      </c>
      <c r="S222" s="339" t="str">
        <f t="shared" si="63"/>
        <v>4.1.4  Hochlochziegel HLzW LM21/LM36</v>
      </c>
      <c r="T222" s="339" t="str">
        <f t="shared" si="35"/>
        <v xml:space="preserve">- rho 800 </v>
      </c>
      <c r="U222" s="339" t="str">
        <f t="shared" si="58"/>
        <v>[0,23]</v>
      </c>
    </row>
    <row r="223" spans="2:22" hidden="1">
      <c r="B223" s="1114"/>
      <c r="C223" s="1114"/>
      <c r="D223" s="228" t="str">
        <f t="shared" si="52"/>
        <v>4.1.4  Hochlochziegel HLzW LM21/LM36</v>
      </c>
      <c r="F223" s="213" t="s">
        <v>1409</v>
      </c>
      <c r="G223" s="213">
        <v>0.23</v>
      </c>
      <c r="H223" s="228" t="str">
        <f t="shared" si="64"/>
        <v xml:space="preserve">5/10 </v>
      </c>
      <c r="K223" s="1073"/>
      <c r="O223" s="324" t="str">
        <f t="shared" si="55"/>
        <v/>
      </c>
      <c r="P223" s="324" t="str">
        <f t="shared" si="59"/>
        <v/>
      </c>
      <c r="Q223" s="324" t="str">
        <f t="shared" si="56"/>
        <v>4.1.4  Hochlochziegel HLzW LM21/LM36 - rho 850  [0,23]</v>
      </c>
      <c r="R223" s="338">
        <f t="shared" si="57"/>
        <v>0.23</v>
      </c>
      <c r="S223" s="339" t="str">
        <f t="shared" si="63"/>
        <v>4.1.4  Hochlochziegel HLzW LM21/LM36</v>
      </c>
      <c r="T223" s="339" t="str">
        <f t="shared" ref="T223:T274" si="65" xml:space="preserve"> "- rho "&amp;F223</f>
        <v xml:space="preserve">- rho 850 </v>
      </c>
      <c r="U223" s="339" t="str">
        <f t="shared" si="58"/>
        <v>[0,23]</v>
      </c>
    </row>
    <row r="224" spans="2:22" hidden="1">
      <c r="D224" s="228" t="str">
        <f t="shared" si="52"/>
        <v>4.1.4  Hochlochziegel HLzW LM21/LM36</v>
      </c>
      <c r="F224" s="213" t="s">
        <v>1355</v>
      </c>
      <c r="G224" s="213">
        <v>0.24</v>
      </c>
      <c r="H224" s="228" t="str">
        <f t="shared" si="64"/>
        <v xml:space="preserve">5/10 </v>
      </c>
      <c r="K224" s="1073"/>
      <c r="O224" s="324" t="str">
        <f t="shared" si="55"/>
        <v/>
      </c>
      <c r="P224" s="324" t="str">
        <f t="shared" si="59"/>
        <v/>
      </c>
      <c r="Q224" s="324" t="str">
        <f t="shared" si="56"/>
        <v>4.1.4  Hochlochziegel HLzW LM21/LM36 - rho 900  [0,24]</v>
      </c>
      <c r="R224" s="338">
        <f t="shared" si="57"/>
        <v>0.24</v>
      </c>
      <c r="S224" s="339" t="str">
        <f t="shared" si="63"/>
        <v>4.1.4  Hochlochziegel HLzW LM21/LM36</v>
      </c>
      <c r="T224" s="339" t="str">
        <f t="shared" si="65"/>
        <v xml:space="preserve">- rho 900 </v>
      </c>
      <c r="U224" s="339" t="str">
        <f t="shared" si="58"/>
        <v>[0,24]</v>
      </c>
    </row>
    <row r="225" spans="2:21" hidden="1">
      <c r="D225" s="228" t="str">
        <f t="shared" si="52"/>
        <v>4.1.4  Hochlochziegel HLzW LM21/LM36</v>
      </c>
      <c r="F225" s="213" t="s">
        <v>1410</v>
      </c>
      <c r="G225" s="213">
        <v>0.25</v>
      </c>
      <c r="H225" s="228" t="str">
        <f t="shared" si="64"/>
        <v xml:space="preserve">5/10 </v>
      </c>
      <c r="K225" s="1073"/>
      <c r="O225" s="324" t="str">
        <f t="shared" si="55"/>
        <v/>
      </c>
      <c r="P225" s="324" t="str">
        <f t="shared" si="59"/>
        <v/>
      </c>
      <c r="Q225" s="324" t="str">
        <f t="shared" si="56"/>
        <v>4.1.4  Hochlochziegel HLzW LM21/LM36 - rho 950  [0,25]</v>
      </c>
      <c r="R225" s="338">
        <f t="shared" si="57"/>
        <v>0.25</v>
      </c>
      <c r="S225" s="339" t="str">
        <f t="shared" si="63"/>
        <v>4.1.4  Hochlochziegel HLzW LM21/LM36</v>
      </c>
      <c r="T225" s="339" t="str">
        <f t="shared" si="65"/>
        <v xml:space="preserve">- rho 950 </v>
      </c>
      <c r="U225" s="339" t="str">
        <f t="shared" si="58"/>
        <v>[0,25]</v>
      </c>
    </row>
    <row r="226" spans="2:21" hidden="1">
      <c r="D226" s="228" t="str">
        <f t="shared" si="52"/>
        <v>4.1.4  Hochlochziegel HLzW LM21/LM36</v>
      </c>
      <c r="F226" s="213" t="s">
        <v>1376</v>
      </c>
      <c r="G226" s="213">
        <v>0.26</v>
      </c>
      <c r="H226" s="228" t="str">
        <f t="shared" si="64"/>
        <v xml:space="preserve">5/10 </v>
      </c>
      <c r="K226" s="1073"/>
      <c r="O226" s="324" t="str">
        <f t="shared" si="55"/>
        <v/>
      </c>
      <c r="P226" s="324" t="str">
        <f t="shared" si="59"/>
        <v/>
      </c>
      <c r="Q226" s="324" t="str">
        <f t="shared" si="56"/>
        <v>4.1.4  Hochlochziegel HLzW LM21/LM36 - rho 1000  [0,26]</v>
      </c>
      <c r="R226" s="338">
        <f t="shared" si="57"/>
        <v>0.26</v>
      </c>
      <c r="S226" s="339" t="str">
        <f t="shared" si="63"/>
        <v>4.1.4  Hochlochziegel HLzW LM21/LM36</v>
      </c>
      <c r="T226" s="339" t="str">
        <f t="shared" si="65"/>
        <v xml:space="preserve">- rho 1000 </v>
      </c>
      <c r="U226" s="339" t="str">
        <f t="shared" si="58"/>
        <v>[0,26]</v>
      </c>
    </row>
    <row r="227" spans="2:21" hidden="1">
      <c r="D227" s="213" t="s">
        <v>3304</v>
      </c>
      <c r="F227" s="213" t="s">
        <v>1368</v>
      </c>
      <c r="G227" s="213">
        <v>0.22</v>
      </c>
      <c r="H227" s="213" t="s">
        <v>1365</v>
      </c>
      <c r="I227" s="213" t="s">
        <v>1176</v>
      </c>
      <c r="K227" s="1073"/>
      <c r="O227" s="324" t="str">
        <f t="shared" si="55"/>
        <v/>
      </c>
      <c r="P227" s="324" t="str">
        <f t="shared" si="59"/>
        <v/>
      </c>
      <c r="Q227" s="324" t="str">
        <f t="shared" si="56"/>
        <v>4.1.4  Hochlochziegel HLzW - NM - rho 550  [0,22]</v>
      </c>
      <c r="R227" s="338">
        <f t="shared" si="57"/>
        <v>0.22</v>
      </c>
      <c r="S227" s="339" t="str">
        <f t="shared" si="63"/>
        <v>4.1.4  Hochlochziegel HLzW - NM</v>
      </c>
      <c r="T227" s="339" t="str">
        <f t="shared" si="65"/>
        <v xml:space="preserve">- rho 550 </v>
      </c>
      <c r="U227" s="339" t="str">
        <f t="shared" si="58"/>
        <v>[0,22]</v>
      </c>
    </row>
    <row r="228" spans="2:21" hidden="1">
      <c r="D228" s="228" t="str">
        <f t="shared" si="52"/>
        <v>4.1.4  Hochlochziegel HLzW - NM</v>
      </c>
      <c r="F228" s="213" t="s">
        <v>1369</v>
      </c>
      <c r="G228" s="213">
        <v>0.23</v>
      </c>
      <c r="H228" s="228" t="str">
        <f t="shared" ref="H228:H236" si="66">H227</f>
        <v xml:space="preserve">5/10 </v>
      </c>
      <c r="K228" s="1073"/>
      <c r="O228" s="324" t="str">
        <f t="shared" si="55"/>
        <v/>
      </c>
      <c r="P228" s="324" t="str">
        <f t="shared" si="59"/>
        <v/>
      </c>
      <c r="Q228" s="324" t="str">
        <f t="shared" si="56"/>
        <v>4.1.4  Hochlochziegel HLzW - NM - rho 600  [0,23]</v>
      </c>
      <c r="R228" s="338">
        <f t="shared" si="57"/>
        <v>0.23</v>
      </c>
      <c r="S228" s="339" t="str">
        <f t="shared" si="63"/>
        <v>4.1.4  Hochlochziegel HLzW - NM</v>
      </c>
      <c r="T228" s="339" t="str">
        <f t="shared" si="65"/>
        <v xml:space="preserve">- rho 600 </v>
      </c>
      <c r="U228" s="339" t="str">
        <f t="shared" si="58"/>
        <v>[0,23]</v>
      </c>
    </row>
    <row r="229" spans="2:21" hidden="1">
      <c r="D229" s="228" t="str">
        <f t="shared" si="52"/>
        <v>4.1.4  Hochlochziegel HLzW - NM</v>
      </c>
      <c r="F229" s="213" t="s">
        <v>1370</v>
      </c>
      <c r="G229" s="213">
        <v>0.23</v>
      </c>
      <c r="H229" s="228" t="str">
        <f t="shared" si="66"/>
        <v xml:space="preserve">5/10 </v>
      </c>
      <c r="K229" s="1073"/>
      <c r="O229" s="324" t="str">
        <f t="shared" si="55"/>
        <v/>
      </c>
      <c r="P229" s="324" t="str">
        <f t="shared" si="59"/>
        <v/>
      </c>
      <c r="Q229" s="324" t="str">
        <f t="shared" si="56"/>
        <v>4.1.4  Hochlochziegel HLzW - NM - rho 650  [0,23]</v>
      </c>
      <c r="R229" s="338">
        <f t="shared" si="57"/>
        <v>0.23</v>
      </c>
      <c r="S229" s="339" t="str">
        <f t="shared" si="63"/>
        <v>4.1.4  Hochlochziegel HLzW - NM</v>
      </c>
      <c r="T229" s="339" t="str">
        <f t="shared" si="65"/>
        <v xml:space="preserve">- rho 650 </v>
      </c>
      <c r="U229" s="339" t="str">
        <f t="shared" si="58"/>
        <v>[0,23]</v>
      </c>
    </row>
    <row r="230" spans="2:21" hidden="1">
      <c r="D230" s="228" t="str">
        <f t="shared" si="52"/>
        <v>4.1.4  Hochlochziegel HLzW - NM</v>
      </c>
      <c r="F230" s="213" t="s">
        <v>1199</v>
      </c>
      <c r="G230" s="213">
        <v>0.24</v>
      </c>
      <c r="H230" s="228" t="str">
        <f t="shared" si="66"/>
        <v xml:space="preserve">5/10 </v>
      </c>
      <c r="K230" s="1073"/>
      <c r="O230" s="324" t="str">
        <f t="shared" si="55"/>
        <v/>
      </c>
      <c r="P230" s="324" t="str">
        <f t="shared" si="59"/>
        <v/>
      </c>
      <c r="Q230" s="324" t="str">
        <f t="shared" si="56"/>
        <v>4.1.4  Hochlochziegel HLzW - NM - rho 700  [0,24]</v>
      </c>
      <c r="R230" s="338">
        <f t="shared" si="57"/>
        <v>0.24</v>
      </c>
      <c r="S230" s="339" t="str">
        <f t="shared" si="63"/>
        <v>4.1.4  Hochlochziegel HLzW - NM</v>
      </c>
      <c r="T230" s="339" t="str">
        <f t="shared" si="65"/>
        <v xml:space="preserve">- rho 700 </v>
      </c>
      <c r="U230" s="339" t="str">
        <f t="shared" si="58"/>
        <v>[0,24]</v>
      </c>
    </row>
    <row r="231" spans="2:21" hidden="1">
      <c r="D231" s="228" t="str">
        <f t="shared" si="52"/>
        <v>4.1.4  Hochlochziegel HLzW - NM</v>
      </c>
      <c r="F231" s="213" t="s">
        <v>1371</v>
      </c>
      <c r="G231" s="213">
        <v>0.25</v>
      </c>
      <c r="H231" s="228" t="str">
        <f t="shared" si="66"/>
        <v xml:space="preserve">5/10 </v>
      </c>
      <c r="K231" s="1073"/>
      <c r="O231" s="324" t="str">
        <f t="shared" si="55"/>
        <v/>
      </c>
      <c r="P231" s="324" t="str">
        <f t="shared" si="59"/>
        <v/>
      </c>
      <c r="Q231" s="324" t="str">
        <f t="shared" si="56"/>
        <v>4.1.4  Hochlochziegel HLzW - NM - rho 750  [0,25]</v>
      </c>
      <c r="R231" s="338">
        <f t="shared" si="57"/>
        <v>0.25</v>
      </c>
      <c r="S231" s="339" t="str">
        <f t="shared" si="63"/>
        <v>4.1.4  Hochlochziegel HLzW - NM</v>
      </c>
      <c r="T231" s="339" t="str">
        <f t="shared" si="65"/>
        <v xml:space="preserve">- rho 750 </v>
      </c>
      <c r="U231" s="339" t="str">
        <f t="shared" si="58"/>
        <v>[0,25]</v>
      </c>
    </row>
    <row r="232" spans="2:21" hidden="1">
      <c r="D232" s="228" t="str">
        <f t="shared" si="52"/>
        <v>4.1.4  Hochlochziegel HLzW - NM</v>
      </c>
      <c r="F232" s="213" t="s">
        <v>1353</v>
      </c>
      <c r="G232" s="213">
        <v>0.26</v>
      </c>
      <c r="H232" s="228" t="str">
        <f t="shared" si="66"/>
        <v xml:space="preserve">5/10 </v>
      </c>
      <c r="K232" s="1073"/>
      <c r="O232" s="324" t="str">
        <f t="shared" si="55"/>
        <v/>
      </c>
      <c r="P232" s="324" t="str">
        <f t="shared" si="59"/>
        <v/>
      </c>
      <c r="Q232" s="324" t="str">
        <f t="shared" si="56"/>
        <v>4.1.4  Hochlochziegel HLzW - NM - rho 800  [0,26]</v>
      </c>
      <c r="R232" s="338">
        <f t="shared" si="57"/>
        <v>0.26</v>
      </c>
      <c r="S232" s="339" t="str">
        <f t="shared" si="63"/>
        <v>4.1.4  Hochlochziegel HLzW - NM</v>
      </c>
      <c r="T232" s="339" t="str">
        <f t="shared" si="65"/>
        <v xml:space="preserve">- rho 800 </v>
      </c>
      <c r="U232" s="339" t="str">
        <f t="shared" si="58"/>
        <v>[0,26]</v>
      </c>
    </row>
    <row r="233" spans="2:21" hidden="1">
      <c r="D233" s="228" t="str">
        <f t="shared" si="52"/>
        <v>4.1.4  Hochlochziegel HLzW - NM</v>
      </c>
      <c r="F233" s="213" t="s">
        <v>1409</v>
      </c>
      <c r="G233" s="213">
        <v>0.26</v>
      </c>
      <c r="H233" s="228" t="str">
        <f t="shared" si="66"/>
        <v xml:space="preserve">5/10 </v>
      </c>
      <c r="K233" s="1073"/>
      <c r="O233" s="324" t="str">
        <f t="shared" si="55"/>
        <v/>
      </c>
      <c r="P233" s="324" t="str">
        <f t="shared" si="59"/>
        <v/>
      </c>
      <c r="Q233" s="324" t="str">
        <f t="shared" si="56"/>
        <v>4.1.4  Hochlochziegel HLzW - NM - rho 850  [0,26]</v>
      </c>
      <c r="R233" s="338">
        <f t="shared" si="57"/>
        <v>0.26</v>
      </c>
      <c r="S233" s="339" t="str">
        <f t="shared" si="63"/>
        <v>4.1.4  Hochlochziegel HLzW - NM</v>
      </c>
      <c r="T233" s="339" t="str">
        <f t="shared" si="65"/>
        <v xml:space="preserve">- rho 850 </v>
      </c>
      <c r="U233" s="339" t="str">
        <f t="shared" si="58"/>
        <v>[0,26]</v>
      </c>
    </row>
    <row r="234" spans="2:21" hidden="1">
      <c r="D234" s="228" t="str">
        <f t="shared" si="52"/>
        <v>4.1.4  Hochlochziegel HLzW - NM</v>
      </c>
      <c r="F234" s="213" t="s">
        <v>1355</v>
      </c>
      <c r="G234" s="213">
        <v>0.27</v>
      </c>
      <c r="H234" s="228" t="str">
        <f t="shared" si="66"/>
        <v xml:space="preserve">5/10 </v>
      </c>
      <c r="K234" s="1073"/>
      <c r="O234" s="324" t="str">
        <f t="shared" si="55"/>
        <v/>
      </c>
      <c r="P234" s="324" t="str">
        <f t="shared" si="59"/>
        <v/>
      </c>
      <c r="Q234" s="324" t="str">
        <f t="shared" si="56"/>
        <v>4.1.4  Hochlochziegel HLzW - NM - rho 900  [0,27]</v>
      </c>
      <c r="R234" s="338">
        <f t="shared" si="57"/>
        <v>0.27</v>
      </c>
      <c r="S234" s="339" t="str">
        <f t="shared" si="63"/>
        <v>4.1.4  Hochlochziegel HLzW - NM</v>
      </c>
      <c r="T234" s="339" t="str">
        <f t="shared" si="65"/>
        <v xml:space="preserve">- rho 900 </v>
      </c>
      <c r="U234" s="339" t="str">
        <f t="shared" si="58"/>
        <v>[0,27]</v>
      </c>
    </row>
    <row r="235" spans="2:21" hidden="1">
      <c r="D235" s="228" t="str">
        <f t="shared" si="52"/>
        <v>4.1.4  Hochlochziegel HLzW - NM</v>
      </c>
      <c r="F235" s="213" t="s">
        <v>1410</v>
      </c>
      <c r="G235" s="213">
        <v>0.28000000000000003</v>
      </c>
      <c r="H235" s="228" t="str">
        <f t="shared" si="66"/>
        <v xml:space="preserve">5/10 </v>
      </c>
      <c r="K235" s="1073"/>
      <c r="O235" s="324" t="str">
        <f t="shared" si="55"/>
        <v/>
      </c>
      <c r="P235" s="324" t="str">
        <f t="shared" si="59"/>
        <v/>
      </c>
      <c r="Q235" s="324" t="str">
        <f t="shared" si="56"/>
        <v>4.1.4  Hochlochziegel HLzW - NM - rho 950  [0,28]</v>
      </c>
      <c r="R235" s="338">
        <f t="shared" si="57"/>
        <v>0.28000000000000003</v>
      </c>
      <c r="S235" s="339" t="str">
        <f t="shared" si="63"/>
        <v>4.1.4  Hochlochziegel HLzW - NM</v>
      </c>
      <c r="T235" s="339" t="str">
        <f t="shared" si="65"/>
        <v xml:space="preserve">- rho 950 </v>
      </c>
      <c r="U235" s="339" t="str">
        <f t="shared" si="58"/>
        <v>[0,28]</v>
      </c>
    </row>
    <row r="236" spans="2:21" hidden="1">
      <c r="D236" s="228" t="str">
        <f t="shared" si="52"/>
        <v>4.1.4  Hochlochziegel HLzW - NM</v>
      </c>
      <c r="F236" s="213" t="s">
        <v>1376</v>
      </c>
      <c r="G236" s="213">
        <v>0.28999999999999998</v>
      </c>
      <c r="H236" s="228" t="str">
        <f t="shared" si="66"/>
        <v xml:space="preserve">5/10 </v>
      </c>
      <c r="K236" s="1073"/>
      <c r="O236" s="324" t="str">
        <f t="shared" si="55"/>
        <v/>
      </c>
      <c r="P236" s="324" t="str">
        <f t="shared" si="59"/>
        <v/>
      </c>
      <c r="Q236" s="324" t="str">
        <f t="shared" si="56"/>
        <v>4.1.4  Hochlochziegel HLzW - NM - rho 1000  [0,29]</v>
      </c>
      <c r="R236" s="338">
        <f t="shared" si="57"/>
        <v>0.28999999999999998</v>
      </c>
      <c r="S236" s="339" t="str">
        <f t="shared" si="63"/>
        <v>4.1.4  Hochlochziegel HLzW - NM</v>
      </c>
      <c r="T236" s="339" t="str">
        <f t="shared" si="65"/>
        <v xml:space="preserve">- rho 1000 </v>
      </c>
      <c r="U236" s="339" t="str">
        <f t="shared" si="58"/>
        <v>[0,29]</v>
      </c>
    </row>
    <row r="237" spans="2:21" hidden="1">
      <c r="B237" s="213" t="s">
        <v>1411</v>
      </c>
      <c r="D237" s="213" t="s">
        <v>1413</v>
      </c>
      <c r="F237" s="213" t="s">
        <v>1376</v>
      </c>
      <c r="G237" s="213">
        <v>0.5</v>
      </c>
      <c r="H237" s="213" t="s">
        <v>1365</v>
      </c>
      <c r="O237" s="324" t="str">
        <f t="shared" si="55"/>
        <v/>
      </c>
      <c r="P237" s="324" t="str">
        <f t="shared" si="59"/>
        <v>4.2  Kalksandsteine</v>
      </c>
      <c r="Q237" s="324" t="str">
        <f t="shared" si="56"/>
        <v>4.2  Mauerwerk Kalksandsteine - rho 1000  [0,5]</v>
      </c>
      <c r="R237" s="338">
        <f t="shared" si="57"/>
        <v>0.5</v>
      </c>
      <c r="S237" s="1118" t="s">
        <v>1697</v>
      </c>
      <c r="T237" s="339" t="str">
        <f t="shared" si="65"/>
        <v xml:space="preserve">- rho 1000 </v>
      </c>
      <c r="U237" s="339" t="str">
        <f t="shared" si="58"/>
        <v>[0,5]</v>
      </c>
    </row>
    <row r="238" spans="2:21" ht="12" hidden="1" customHeight="1">
      <c r="B238" s="1271" t="s">
        <v>3305</v>
      </c>
      <c r="C238" s="1271"/>
      <c r="D238" s="228" t="str">
        <f t="shared" si="52"/>
        <v>4.2  Mauerwerk aus Kalksandsteinen</v>
      </c>
      <c r="F238" s="213" t="s">
        <v>1377</v>
      </c>
      <c r="G238" s="213">
        <v>0.56000000000000005</v>
      </c>
      <c r="H238" s="228" t="str">
        <f t="shared" ref="H238:H239" si="67">H237</f>
        <v xml:space="preserve">5/10 </v>
      </c>
      <c r="O238" s="324" t="str">
        <f t="shared" si="55"/>
        <v/>
      </c>
      <c r="P238" s="324" t="str">
        <f t="shared" si="59"/>
        <v/>
      </c>
      <c r="Q238" s="324" t="str">
        <f t="shared" si="56"/>
        <v>4.2  Mauerwerk Kalksandsteine - rho 1200  [0,56]</v>
      </c>
      <c r="R238" s="338">
        <f t="shared" si="57"/>
        <v>0.56000000000000005</v>
      </c>
      <c r="S238" s="1118" t="s">
        <v>1697</v>
      </c>
      <c r="T238" s="339" t="str">
        <f t="shared" si="65"/>
        <v xml:space="preserve">- rho 1200 </v>
      </c>
      <c r="U238" s="339" t="str">
        <f t="shared" si="58"/>
        <v>[0,56]</v>
      </c>
    </row>
    <row r="239" spans="2:21" hidden="1">
      <c r="B239" s="1271"/>
      <c r="C239" s="1271"/>
      <c r="D239" s="228" t="str">
        <f t="shared" si="52"/>
        <v>4.2  Mauerwerk aus Kalksandsteinen</v>
      </c>
      <c r="F239" s="213" t="s">
        <v>1378</v>
      </c>
      <c r="G239" s="213">
        <v>0.7</v>
      </c>
      <c r="H239" s="228" t="str">
        <f t="shared" si="67"/>
        <v xml:space="preserve">5/10 </v>
      </c>
      <c r="O239" s="324" t="str">
        <f t="shared" si="55"/>
        <v/>
      </c>
      <c r="P239" s="324" t="str">
        <f t="shared" si="59"/>
        <v/>
      </c>
      <c r="Q239" s="324" t="str">
        <f t="shared" si="56"/>
        <v>4.2  Mauerwerk Kalksandsteine - rho 1400  [0,7]</v>
      </c>
      <c r="R239" s="338">
        <f t="shared" si="57"/>
        <v>0.7</v>
      </c>
      <c r="S239" s="1118" t="s">
        <v>1697</v>
      </c>
      <c r="T239" s="339" t="str">
        <f t="shared" si="65"/>
        <v xml:space="preserve">- rho 1400 </v>
      </c>
      <c r="U239" s="339" t="str">
        <f t="shared" si="58"/>
        <v>[0,7]</v>
      </c>
    </row>
    <row r="240" spans="2:21" hidden="1">
      <c r="B240" s="1271"/>
      <c r="C240" s="1271"/>
      <c r="D240" s="228" t="str">
        <f t="shared" si="52"/>
        <v>4.2  Mauerwerk aus Kalksandsteinen</v>
      </c>
      <c r="F240" s="213" t="s">
        <v>1379</v>
      </c>
      <c r="G240" s="213">
        <v>0.79</v>
      </c>
      <c r="H240" s="213" t="s">
        <v>1414</v>
      </c>
      <c r="O240" s="324" t="str">
        <f t="shared" si="55"/>
        <v/>
      </c>
      <c r="P240" s="324" t="str">
        <f t="shared" si="59"/>
        <v/>
      </c>
      <c r="Q240" s="324" t="str">
        <f t="shared" si="56"/>
        <v>4.2  Mauerwerk Kalksandsteine - rho 1600  [0,79]</v>
      </c>
      <c r="R240" s="338">
        <f t="shared" si="57"/>
        <v>0.79</v>
      </c>
      <c r="S240" s="1118" t="s">
        <v>1697</v>
      </c>
      <c r="T240" s="339" t="str">
        <f t="shared" si="65"/>
        <v xml:space="preserve">- rho 1600 </v>
      </c>
      <c r="U240" s="339" t="str">
        <f t="shared" si="58"/>
        <v>[0,79]</v>
      </c>
    </row>
    <row r="241" spans="2:22" hidden="1">
      <c r="B241" s="1271"/>
      <c r="C241" s="1271"/>
      <c r="D241" s="228" t="str">
        <f t="shared" si="52"/>
        <v>4.2  Mauerwerk aus Kalksandsteinen</v>
      </c>
      <c r="F241" s="213" t="s">
        <v>1401</v>
      </c>
      <c r="G241" s="213">
        <v>0.99</v>
      </c>
      <c r="H241" s="228" t="str">
        <f t="shared" ref="H241:H245" si="68">H240</f>
        <v xml:space="preserve">15/25 </v>
      </c>
      <c r="O241" s="324" t="str">
        <f t="shared" si="55"/>
        <v/>
      </c>
      <c r="P241" s="324" t="str">
        <f t="shared" si="59"/>
        <v/>
      </c>
      <c r="Q241" s="324" t="str">
        <f t="shared" si="56"/>
        <v>4.2  Mauerwerk Kalksandsteine - rho 1800  [0,99]</v>
      </c>
      <c r="R241" s="338">
        <f t="shared" si="57"/>
        <v>0.99</v>
      </c>
      <c r="S241" s="1118" t="s">
        <v>1697</v>
      </c>
      <c r="T241" s="339" t="str">
        <f t="shared" si="65"/>
        <v xml:space="preserve">- rho 1800 </v>
      </c>
      <c r="U241" s="339" t="str">
        <f t="shared" si="58"/>
        <v>[0,99]</v>
      </c>
    </row>
    <row r="242" spans="2:22" hidden="1">
      <c r="B242" s="1271"/>
      <c r="C242" s="1271"/>
      <c r="D242" s="228" t="str">
        <f t="shared" si="52"/>
        <v>4.2  Mauerwerk aus Kalksandsteinen</v>
      </c>
      <c r="F242" s="213" t="s">
        <v>1403</v>
      </c>
      <c r="G242" s="213">
        <v>1.1000000000000001</v>
      </c>
      <c r="H242" s="228" t="str">
        <f t="shared" si="68"/>
        <v xml:space="preserve">15/25 </v>
      </c>
      <c r="O242" s="324" t="str">
        <f t="shared" si="55"/>
        <v/>
      </c>
      <c r="P242" s="324" t="str">
        <f t="shared" si="59"/>
        <v/>
      </c>
      <c r="Q242" s="324" t="str">
        <f t="shared" si="56"/>
        <v>4.2  Mauerwerk Kalksandsteine - rho 2000  [1,1]</v>
      </c>
      <c r="R242" s="338">
        <f t="shared" si="57"/>
        <v>1.1000000000000001</v>
      </c>
      <c r="S242" s="1118" t="s">
        <v>1697</v>
      </c>
      <c r="T242" s="339" t="str">
        <f t="shared" si="65"/>
        <v xml:space="preserve">- rho 2000 </v>
      </c>
      <c r="U242" s="339" t="str">
        <f t="shared" si="58"/>
        <v>[1,1]</v>
      </c>
    </row>
    <row r="243" spans="2:22" hidden="1">
      <c r="B243" s="1271"/>
      <c r="C243" s="1271"/>
      <c r="D243" s="228" t="str">
        <f t="shared" si="52"/>
        <v>4.2  Mauerwerk aus Kalksandsteinen</v>
      </c>
      <c r="F243" s="213" t="s">
        <v>1404</v>
      </c>
      <c r="G243" s="213">
        <v>1.3</v>
      </c>
      <c r="H243" s="228" t="str">
        <f t="shared" si="68"/>
        <v xml:space="preserve">15/25 </v>
      </c>
      <c r="O243" s="324" t="str">
        <f t="shared" si="55"/>
        <v/>
      </c>
      <c r="P243" s="324" t="str">
        <f t="shared" si="59"/>
        <v/>
      </c>
      <c r="Q243" s="324" t="str">
        <f t="shared" si="56"/>
        <v>4.2  Mauerwerk Kalksandsteine - rho 2200  [1,3]</v>
      </c>
      <c r="R243" s="338">
        <f t="shared" si="57"/>
        <v>1.3</v>
      </c>
      <c r="S243" s="1118" t="s">
        <v>1697</v>
      </c>
      <c r="T243" s="339" t="str">
        <f t="shared" si="65"/>
        <v xml:space="preserve">- rho 2200 </v>
      </c>
      <c r="U243" s="339" t="str">
        <f t="shared" si="58"/>
        <v>[1,3]</v>
      </c>
    </row>
    <row r="244" spans="2:22" hidden="1">
      <c r="B244" s="1113"/>
      <c r="C244" s="1114"/>
      <c r="D244" s="228" t="str">
        <f>D237</f>
        <v>4.2  Mauerwerk aus Kalksandsteinen</v>
      </c>
      <c r="F244" s="755">
        <v>2400</v>
      </c>
      <c r="G244" s="213">
        <v>1.6</v>
      </c>
      <c r="H244" s="228" t="str">
        <f t="shared" si="68"/>
        <v xml:space="preserve">15/25 </v>
      </c>
      <c r="K244" s="1073"/>
      <c r="P244" s="324" t="str">
        <f t="shared" ref="P244:P245" si="69">IF(ISERROR(VALUE((LEFT(B244,1))))=FALSE,B244,"")</f>
        <v/>
      </c>
      <c r="Q244" s="324" t="str">
        <f t="shared" ref="Q244:Q245" si="70">IF(S244&gt;0,S244,"")&amp;IF(T244&lt;&gt;""," "&amp;T244,"")&amp;IF(U244&lt;&gt;""," "&amp;U244,"")&amp;IF(V244&lt;&gt;""," "&amp;V244,"")</f>
        <v>4.2  Mauerwerk Kalksandsteine - rho 2400 [1,6]</v>
      </c>
      <c r="R244" s="338">
        <f t="shared" ref="R244:R245" si="71">G244</f>
        <v>1.6</v>
      </c>
      <c r="S244" s="1118" t="s">
        <v>1697</v>
      </c>
      <c r="T244" s="339" t="str">
        <f t="shared" ref="T244:T245" si="72" xml:space="preserve"> "- rho "&amp;F244</f>
        <v>- rho 2400</v>
      </c>
      <c r="U244" s="339" t="str">
        <f t="shared" ref="U244:U245" si="73">IF(G244&gt;0,"["&amp;G244&amp;"]","")</f>
        <v>[1,6]</v>
      </c>
    </row>
    <row r="245" spans="2:22" hidden="1">
      <c r="B245" s="1113"/>
      <c r="C245" s="1114"/>
      <c r="D245" s="228" t="str">
        <f>D237</f>
        <v>4.2  Mauerwerk aus Kalksandsteinen</v>
      </c>
      <c r="F245" s="755">
        <v>2600</v>
      </c>
      <c r="G245" s="213">
        <v>1.8</v>
      </c>
      <c r="H245" s="228" t="str">
        <f t="shared" si="68"/>
        <v xml:space="preserve">15/25 </v>
      </c>
      <c r="K245" s="1073"/>
      <c r="P245" s="324" t="str">
        <f t="shared" si="69"/>
        <v/>
      </c>
      <c r="Q245" s="324" t="str">
        <f t="shared" si="70"/>
        <v>4.2  Mauerwerk Kalksandsteine - rho 2600 [1,8]</v>
      </c>
      <c r="R245" s="338">
        <f t="shared" si="71"/>
        <v>1.8</v>
      </c>
      <c r="S245" s="1118" t="s">
        <v>1697</v>
      </c>
      <c r="T245" s="339" t="str">
        <f t="shared" si="72"/>
        <v>- rho 2600</v>
      </c>
      <c r="U245" s="339" t="str">
        <f t="shared" si="73"/>
        <v>[1,8]</v>
      </c>
    </row>
    <row r="246" spans="2:22" hidden="1">
      <c r="B246" s="213" t="s">
        <v>3306</v>
      </c>
      <c r="D246" s="213" t="s">
        <v>1415</v>
      </c>
      <c r="F246" s="213" t="s">
        <v>1364</v>
      </c>
      <c r="G246" s="213">
        <v>0.11</v>
      </c>
      <c r="H246" s="213" t="s">
        <v>1365</v>
      </c>
      <c r="O246" s="324" t="str">
        <f t="shared" si="55"/>
        <v/>
      </c>
      <c r="P246" s="324" t="str">
        <f t="shared" si="59"/>
        <v>4.3  Porenbeton-Plansteine</v>
      </c>
      <c r="Q246" s="324" t="str">
        <f t="shared" si="56"/>
        <v>4.4  Mauerwerk PP - rho 350  [0,11] (Porenbeton-Plansteine)</v>
      </c>
      <c r="R246" s="338">
        <f t="shared" si="57"/>
        <v>0.11</v>
      </c>
      <c r="S246" s="1118" t="s">
        <v>1698</v>
      </c>
      <c r="T246" s="339" t="str">
        <f t="shared" si="65"/>
        <v xml:space="preserve">- rho 350 </v>
      </c>
      <c r="U246" s="339" t="str">
        <f t="shared" si="58"/>
        <v>[0,11]</v>
      </c>
      <c r="V246" s="1118" t="s">
        <v>1699</v>
      </c>
    </row>
    <row r="247" spans="2:22" ht="12" hidden="1" customHeight="1">
      <c r="B247" s="1271" t="s">
        <v>3307</v>
      </c>
      <c r="C247" s="1271"/>
      <c r="D247" s="228" t="str">
        <f t="shared" si="52"/>
        <v>4.4  Mauerwerk aus Porenbeton-Plansteinen (PP)</v>
      </c>
      <c r="F247" s="213" t="s">
        <v>1198</v>
      </c>
      <c r="G247" s="213">
        <v>0.13</v>
      </c>
      <c r="H247" s="228" t="str">
        <f t="shared" ref="H247:H255" si="74">H246</f>
        <v xml:space="preserve">5/10 </v>
      </c>
      <c r="O247" s="324" t="str">
        <f t="shared" si="55"/>
        <v/>
      </c>
      <c r="P247" s="324" t="str">
        <f t="shared" si="59"/>
        <v/>
      </c>
      <c r="Q247" s="324" t="str">
        <f t="shared" si="56"/>
        <v>4.4  Mauerwerk PP - rho 400  [0,13] (Porenbeton-Plansteine)</v>
      </c>
      <c r="R247" s="338">
        <f t="shared" si="57"/>
        <v>0.13</v>
      </c>
      <c r="S247" s="1118" t="s">
        <v>1698</v>
      </c>
      <c r="T247" s="339" t="str">
        <f t="shared" si="65"/>
        <v xml:space="preserve">- rho 400 </v>
      </c>
      <c r="U247" s="339" t="str">
        <f t="shared" si="58"/>
        <v>[0,13]</v>
      </c>
      <c r="V247" s="1118" t="s">
        <v>1699</v>
      </c>
    </row>
    <row r="248" spans="2:22" hidden="1">
      <c r="B248" s="1271"/>
      <c r="C248" s="1271"/>
      <c r="D248" s="228" t="str">
        <f t="shared" ref="D248:D303" si="75">D247</f>
        <v>4.4  Mauerwerk aus Porenbeton-Plansteinen (PP)</v>
      </c>
      <c r="F248" s="213" t="s">
        <v>1366</v>
      </c>
      <c r="G248" s="213">
        <v>0.15</v>
      </c>
      <c r="H248" s="228" t="str">
        <f t="shared" si="74"/>
        <v xml:space="preserve">5/10 </v>
      </c>
      <c r="O248" s="324" t="str">
        <f t="shared" si="55"/>
        <v/>
      </c>
      <c r="P248" s="324" t="str">
        <f t="shared" si="59"/>
        <v/>
      </c>
      <c r="Q248" s="324" t="str">
        <f t="shared" si="56"/>
        <v>4.4  Mauerwerk PP - rho 450  [0,15] (Porenbeton-Plansteine)</v>
      </c>
      <c r="R248" s="338">
        <f t="shared" si="57"/>
        <v>0.15</v>
      </c>
      <c r="S248" s="1118" t="s">
        <v>1698</v>
      </c>
      <c r="T248" s="339" t="str">
        <f t="shared" si="65"/>
        <v xml:space="preserve">- rho 450 </v>
      </c>
      <c r="U248" s="339" t="str">
        <f t="shared" si="58"/>
        <v>[0,15]</v>
      </c>
      <c r="V248" s="1118" t="s">
        <v>1699</v>
      </c>
    </row>
    <row r="249" spans="2:22" hidden="1">
      <c r="B249" s="1271"/>
      <c r="C249" s="1271"/>
      <c r="D249" s="228" t="str">
        <f t="shared" si="75"/>
        <v>4.4  Mauerwerk aus Porenbeton-Plansteinen (PP)</v>
      </c>
      <c r="F249" s="213" t="s">
        <v>1367</v>
      </c>
      <c r="G249" s="213">
        <v>0.16</v>
      </c>
      <c r="H249" s="228" t="str">
        <f t="shared" si="74"/>
        <v xml:space="preserve">5/10 </v>
      </c>
      <c r="O249" s="324" t="str">
        <f t="shared" si="55"/>
        <v/>
      </c>
      <c r="P249" s="324" t="str">
        <f t="shared" si="59"/>
        <v/>
      </c>
      <c r="Q249" s="324" t="str">
        <f t="shared" si="56"/>
        <v>4.4  Mauerwerk PP - rho 500  [0,16] (Porenbeton-Plansteine)</v>
      </c>
      <c r="R249" s="338">
        <f t="shared" si="57"/>
        <v>0.16</v>
      </c>
      <c r="S249" s="1118" t="s">
        <v>1698</v>
      </c>
      <c r="T249" s="339" t="str">
        <f t="shared" si="65"/>
        <v xml:space="preserve">- rho 500 </v>
      </c>
      <c r="U249" s="339" t="str">
        <f t="shared" si="58"/>
        <v>[0,16]</v>
      </c>
      <c r="V249" s="1118" t="s">
        <v>1699</v>
      </c>
    </row>
    <row r="250" spans="2:22" hidden="1">
      <c r="B250" s="1271"/>
      <c r="C250" s="1271"/>
      <c r="D250" s="228" t="str">
        <f t="shared" si="75"/>
        <v>4.4  Mauerwerk aus Porenbeton-Plansteinen (PP)</v>
      </c>
      <c r="F250" s="213" t="s">
        <v>1368</v>
      </c>
      <c r="G250" s="213">
        <v>0.18</v>
      </c>
      <c r="H250" s="228" t="str">
        <f t="shared" si="74"/>
        <v xml:space="preserve">5/10 </v>
      </c>
      <c r="O250" s="324" t="str">
        <f t="shared" si="55"/>
        <v/>
      </c>
      <c r="P250" s="324" t="str">
        <f t="shared" si="59"/>
        <v/>
      </c>
      <c r="Q250" s="324" t="str">
        <f t="shared" si="56"/>
        <v>4.4  Mauerwerk PP - rho 550  [0,18] (Porenbeton-Plansteine)</v>
      </c>
      <c r="R250" s="338">
        <f t="shared" si="57"/>
        <v>0.18</v>
      </c>
      <c r="S250" s="1118" t="s">
        <v>1698</v>
      </c>
      <c r="T250" s="339" t="str">
        <f t="shared" si="65"/>
        <v xml:space="preserve">- rho 550 </v>
      </c>
      <c r="U250" s="339" t="str">
        <f t="shared" si="58"/>
        <v>[0,18]</v>
      </c>
      <c r="V250" s="1118" t="s">
        <v>1699</v>
      </c>
    </row>
    <row r="251" spans="2:22" hidden="1">
      <c r="B251" s="1271"/>
      <c r="C251" s="1271"/>
      <c r="D251" s="228" t="str">
        <f t="shared" si="75"/>
        <v>4.4  Mauerwerk aus Porenbeton-Plansteinen (PP)</v>
      </c>
      <c r="F251" s="213" t="s">
        <v>1369</v>
      </c>
      <c r="G251" s="213">
        <v>0.19</v>
      </c>
      <c r="H251" s="228" t="str">
        <f t="shared" si="74"/>
        <v xml:space="preserve">5/10 </v>
      </c>
      <c r="O251" s="324" t="str">
        <f t="shared" si="55"/>
        <v/>
      </c>
      <c r="P251" s="324" t="str">
        <f t="shared" si="59"/>
        <v/>
      </c>
      <c r="Q251" s="324" t="str">
        <f t="shared" si="56"/>
        <v>4.4  Mauerwerk PP - rho 600  [0,19] (Porenbeton-Plansteine)</v>
      </c>
      <c r="R251" s="338">
        <f t="shared" si="57"/>
        <v>0.19</v>
      </c>
      <c r="S251" s="1118" t="s">
        <v>1698</v>
      </c>
      <c r="T251" s="339" t="str">
        <f t="shared" si="65"/>
        <v xml:space="preserve">- rho 600 </v>
      </c>
      <c r="U251" s="339" t="str">
        <f t="shared" si="58"/>
        <v>[0,19]</v>
      </c>
      <c r="V251" s="1118" t="s">
        <v>1699</v>
      </c>
    </row>
    <row r="252" spans="2:22" hidden="1">
      <c r="B252" s="1271"/>
      <c r="C252" s="1271"/>
      <c r="D252" s="228" t="str">
        <f t="shared" si="75"/>
        <v>4.4  Mauerwerk aus Porenbeton-Plansteinen (PP)</v>
      </c>
      <c r="F252" s="213" t="s">
        <v>1370</v>
      </c>
      <c r="G252" s="213">
        <v>0.21</v>
      </c>
      <c r="H252" s="228" t="str">
        <f t="shared" si="74"/>
        <v xml:space="preserve">5/10 </v>
      </c>
      <c r="O252" s="324" t="str">
        <f t="shared" si="55"/>
        <v/>
      </c>
      <c r="P252" s="324" t="str">
        <f t="shared" si="59"/>
        <v/>
      </c>
      <c r="Q252" s="324" t="str">
        <f t="shared" si="56"/>
        <v>4.4  Mauerwerk PP - rho 650  [0,21] (Porenbeton-Plansteine)</v>
      </c>
      <c r="R252" s="338">
        <f t="shared" si="57"/>
        <v>0.21</v>
      </c>
      <c r="S252" s="1118" t="s">
        <v>1698</v>
      </c>
      <c r="T252" s="339" t="str">
        <f t="shared" si="65"/>
        <v xml:space="preserve">- rho 650 </v>
      </c>
      <c r="U252" s="339" t="str">
        <f t="shared" si="58"/>
        <v>[0,21]</v>
      </c>
      <c r="V252" s="1118" t="s">
        <v>1699</v>
      </c>
    </row>
    <row r="253" spans="2:22" hidden="1">
      <c r="B253" s="1114"/>
      <c r="C253" s="1114"/>
      <c r="D253" s="228" t="str">
        <f t="shared" si="75"/>
        <v>4.4  Mauerwerk aus Porenbeton-Plansteinen (PP)</v>
      </c>
      <c r="F253" s="213" t="s">
        <v>1199</v>
      </c>
      <c r="G253" s="213">
        <v>0.22</v>
      </c>
      <c r="H253" s="228" t="str">
        <f t="shared" si="74"/>
        <v xml:space="preserve">5/10 </v>
      </c>
      <c r="O253" s="324" t="str">
        <f t="shared" si="55"/>
        <v/>
      </c>
      <c r="P253" s="324" t="str">
        <f t="shared" si="59"/>
        <v/>
      </c>
      <c r="Q253" s="324" t="str">
        <f t="shared" si="56"/>
        <v>4.4  Mauerwerk PP - rho 700  [0,22] (Porenbeton-Plansteine)</v>
      </c>
      <c r="R253" s="338">
        <f t="shared" si="57"/>
        <v>0.22</v>
      </c>
      <c r="S253" s="1118" t="s">
        <v>1698</v>
      </c>
      <c r="T253" s="339" t="str">
        <f t="shared" si="65"/>
        <v xml:space="preserve">- rho 700 </v>
      </c>
      <c r="U253" s="339" t="str">
        <f t="shared" si="58"/>
        <v>[0,22]</v>
      </c>
      <c r="V253" s="1118" t="s">
        <v>1699</v>
      </c>
    </row>
    <row r="254" spans="2:22" hidden="1">
      <c r="B254" s="1114"/>
      <c r="C254" s="1114"/>
      <c r="D254" s="228" t="str">
        <f t="shared" si="75"/>
        <v>4.4  Mauerwerk aus Porenbeton-Plansteinen (PP)</v>
      </c>
      <c r="F254" s="213" t="s">
        <v>1371</v>
      </c>
      <c r="G254" s="213">
        <v>0.24</v>
      </c>
      <c r="H254" s="228" t="str">
        <f t="shared" si="74"/>
        <v xml:space="preserve">5/10 </v>
      </c>
      <c r="O254" s="324" t="str">
        <f t="shared" si="55"/>
        <v/>
      </c>
      <c r="P254" s="324" t="str">
        <f t="shared" si="59"/>
        <v/>
      </c>
      <c r="Q254" s="324" t="str">
        <f t="shared" si="56"/>
        <v>4.4  Mauerwerk PP - rho 750  [0,24] (Porenbeton-Plansteine)</v>
      </c>
      <c r="R254" s="338">
        <f t="shared" si="57"/>
        <v>0.24</v>
      </c>
      <c r="S254" s="1118" t="s">
        <v>1698</v>
      </c>
      <c r="T254" s="339" t="str">
        <f t="shared" si="65"/>
        <v xml:space="preserve">- rho 750 </v>
      </c>
      <c r="U254" s="339" t="str">
        <f t="shared" si="58"/>
        <v>[0,24]</v>
      </c>
      <c r="V254" s="1118" t="s">
        <v>1699</v>
      </c>
    </row>
    <row r="255" spans="2:22" hidden="1">
      <c r="B255" s="1114"/>
      <c r="C255" s="1114"/>
      <c r="D255" s="228" t="str">
        <f t="shared" si="75"/>
        <v>4.4  Mauerwerk aus Porenbeton-Plansteinen (PP)</v>
      </c>
      <c r="F255" s="213" t="s">
        <v>1353</v>
      </c>
      <c r="G255" s="213">
        <v>0.25</v>
      </c>
      <c r="H255" s="228" t="str">
        <f t="shared" si="74"/>
        <v xml:space="preserve">5/10 </v>
      </c>
      <c r="O255" s="324" t="str">
        <f t="shared" ref="O255:O310" si="76">IF(A255&gt;0,A255,"")</f>
        <v/>
      </c>
      <c r="P255" s="324" t="str">
        <f t="shared" si="59"/>
        <v/>
      </c>
      <c r="Q255" s="324" t="str">
        <f t="shared" ref="Q255:Q310" si="77">IF(S255&gt;0,S255,"")&amp;IF(T255&lt;&gt;""," "&amp;T255,"")&amp;IF(U255&lt;&gt;""," "&amp;U255,"")&amp;IF(V255&lt;&gt;""," "&amp;V255,"")</f>
        <v>4.4  Mauerwerk PP - rho 800  [0,25] (Porenbeton-Plansteine)</v>
      </c>
      <c r="R255" s="338">
        <f t="shared" ref="R255:R310" si="78">G255</f>
        <v>0.25</v>
      </c>
      <c r="S255" s="1118" t="s">
        <v>1698</v>
      </c>
      <c r="T255" s="339" t="str">
        <f t="shared" si="65"/>
        <v xml:space="preserve">- rho 800 </v>
      </c>
      <c r="U255" s="339" t="str">
        <f t="shared" ref="U255:U310" si="79">IF(G255&gt;0,"["&amp;G255&amp;"]","")</f>
        <v>[0,25]</v>
      </c>
      <c r="V255" s="1118" t="s">
        <v>1699</v>
      </c>
    </row>
    <row r="256" spans="2:22" hidden="1">
      <c r="B256" s="213" t="s">
        <v>3313</v>
      </c>
      <c r="D256" s="213" t="s">
        <v>3309</v>
      </c>
      <c r="F256" s="213" t="s">
        <v>1366</v>
      </c>
      <c r="G256" s="213">
        <v>0.2</v>
      </c>
      <c r="H256" s="213" t="s">
        <v>1365</v>
      </c>
      <c r="I256" s="213" t="s">
        <v>1416</v>
      </c>
      <c r="K256" s="1073"/>
      <c r="O256" s="324" t="str">
        <f t="shared" si="76"/>
        <v/>
      </c>
      <c r="P256" s="324" t="str">
        <f t="shared" ref="P256:P311" si="80">IF(ISERROR(VALUE((LEFT(B256,1))))=FALSE,B256,"")</f>
        <v>4.4  Betonsteine Hbl G1</v>
      </c>
      <c r="Q256" s="324" t="str">
        <f t="shared" si="77"/>
        <v>4.4.1  Hohlblöcke (Hbl) - LM21/DM - rho 450  [0,2] (Gruppe 1)</v>
      </c>
      <c r="R256" s="338">
        <f t="shared" si="78"/>
        <v>0.2</v>
      </c>
      <c r="S256" s="1119" t="str">
        <f>SUBSTITUTE(D256,", Gruppe 1","")</f>
        <v>4.4.1  Hohlblöcke (Hbl) - LM21/DM</v>
      </c>
      <c r="T256" s="339" t="str">
        <f t="shared" si="65"/>
        <v xml:space="preserve">- rho 450 </v>
      </c>
      <c r="U256" s="339" t="str">
        <f t="shared" si="79"/>
        <v>[0,2]</v>
      </c>
      <c r="V256" s="1118" t="s">
        <v>1700</v>
      </c>
    </row>
    <row r="257" spans="2:22" ht="12" hidden="1" customHeight="1">
      <c r="B257" s="1271" t="s">
        <v>3308</v>
      </c>
      <c r="C257" s="1271"/>
      <c r="D257" s="228" t="str">
        <f t="shared" si="75"/>
        <v>4.4.1  Hohlblöcke (Hbl), Gruppe 1 - LM21/DM</v>
      </c>
      <c r="F257" s="213" t="s">
        <v>1367</v>
      </c>
      <c r="G257" s="213">
        <v>0.22</v>
      </c>
      <c r="H257" s="228" t="str">
        <f t="shared" ref="H257:H263" si="81">H256</f>
        <v xml:space="preserve">5/10 </v>
      </c>
      <c r="K257" s="1073"/>
      <c r="O257" s="324" t="str">
        <f t="shared" si="76"/>
        <v/>
      </c>
      <c r="P257" s="324" t="str">
        <f t="shared" si="80"/>
        <v/>
      </c>
      <c r="Q257" s="324" t="str">
        <f t="shared" si="77"/>
        <v>4.4.1  Hohlblöcke (Hbl) - LM21/DM - rho 500  [0,22] (Gruppe 1)</v>
      </c>
      <c r="R257" s="338">
        <f t="shared" si="78"/>
        <v>0.22</v>
      </c>
      <c r="S257" s="1119" t="str">
        <f t="shared" ref="S257:S283" si="82">SUBSTITUTE(D257,", Gruppe 1","")</f>
        <v>4.4.1  Hohlblöcke (Hbl) - LM21/DM</v>
      </c>
      <c r="T257" s="339" t="str">
        <f t="shared" si="65"/>
        <v xml:space="preserve">- rho 500 </v>
      </c>
      <c r="U257" s="339" t="str">
        <f t="shared" si="79"/>
        <v>[0,22]</v>
      </c>
      <c r="V257" s="1118" t="s">
        <v>1700</v>
      </c>
    </row>
    <row r="258" spans="2:22" hidden="1">
      <c r="B258" s="1271"/>
      <c r="C258" s="1271"/>
      <c r="D258" s="228" t="str">
        <f t="shared" si="75"/>
        <v>4.4.1  Hohlblöcke (Hbl), Gruppe 1 - LM21/DM</v>
      </c>
      <c r="F258" s="213" t="s">
        <v>1368</v>
      </c>
      <c r="G258" s="213">
        <v>0.23</v>
      </c>
      <c r="H258" s="228" t="str">
        <f t="shared" si="81"/>
        <v xml:space="preserve">5/10 </v>
      </c>
      <c r="K258" s="1073"/>
      <c r="O258" s="324" t="str">
        <f t="shared" si="76"/>
        <v/>
      </c>
      <c r="P258" s="324" t="str">
        <f t="shared" si="80"/>
        <v/>
      </c>
      <c r="Q258" s="324" t="str">
        <f t="shared" si="77"/>
        <v>4.4.1  Hohlblöcke (Hbl) - LM21/DM - rho 550  [0,23] (Gruppe 1)</v>
      </c>
      <c r="R258" s="338">
        <f t="shared" si="78"/>
        <v>0.23</v>
      </c>
      <c r="S258" s="1119" t="str">
        <f t="shared" si="82"/>
        <v>4.4.1  Hohlblöcke (Hbl) - LM21/DM</v>
      </c>
      <c r="T258" s="339" t="str">
        <f t="shared" si="65"/>
        <v xml:space="preserve">- rho 550 </v>
      </c>
      <c r="U258" s="339" t="str">
        <f t="shared" si="79"/>
        <v>[0,23]</v>
      </c>
      <c r="V258" s="1118" t="s">
        <v>1700</v>
      </c>
    </row>
    <row r="259" spans="2:22" hidden="1">
      <c r="B259" s="1271"/>
      <c r="C259" s="1271"/>
      <c r="D259" s="228" t="str">
        <f t="shared" si="75"/>
        <v>4.4.1  Hohlblöcke (Hbl), Gruppe 1 - LM21/DM</v>
      </c>
      <c r="F259" s="213" t="s">
        <v>1369</v>
      </c>
      <c r="G259" s="213">
        <v>0.24</v>
      </c>
      <c r="H259" s="228" t="str">
        <f t="shared" si="81"/>
        <v xml:space="preserve">5/10 </v>
      </c>
      <c r="K259" s="1073"/>
      <c r="O259" s="324" t="str">
        <f t="shared" si="76"/>
        <v/>
      </c>
      <c r="P259" s="324" t="str">
        <f t="shared" si="80"/>
        <v/>
      </c>
      <c r="Q259" s="324" t="str">
        <f t="shared" si="77"/>
        <v>4.4.1  Hohlblöcke (Hbl) - LM21/DM - rho 600  [0,24] (Gruppe 1)</v>
      </c>
      <c r="R259" s="338">
        <f t="shared" si="78"/>
        <v>0.24</v>
      </c>
      <c r="S259" s="1119" t="str">
        <f t="shared" si="82"/>
        <v>4.4.1  Hohlblöcke (Hbl) - LM21/DM</v>
      </c>
      <c r="T259" s="339" t="str">
        <f t="shared" si="65"/>
        <v xml:space="preserve">- rho 600 </v>
      </c>
      <c r="U259" s="339" t="str">
        <f t="shared" si="79"/>
        <v>[0,24]</v>
      </c>
      <c r="V259" s="1118" t="s">
        <v>1700</v>
      </c>
    </row>
    <row r="260" spans="2:22" hidden="1">
      <c r="B260" s="1271"/>
      <c r="C260" s="1271"/>
      <c r="D260" s="228" t="str">
        <f t="shared" si="75"/>
        <v>4.4.1  Hohlblöcke (Hbl), Gruppe 1 - LM21/DM</v>
      </c>
      <c r="F260" s="213" t="s">
        <v>1370</v>
      </c>
      <c r="G260" s="213">
        <v>0.26</v>
      </c>
      <c r="H260" s="228" t="str">
        <f t="shared" si="81"/>
        <v xml:space="preserve">5/10 </v>
      </c>
      <c r="K260" s="1073"/>
      <c r="O260" s="324" t="str">
        <f t="shared" si="76"/>
        <v/>
      </c>
      <c r="P260" s="324" t="str">
        <f t="shared" si="80"/>
        <v/>
      </c>
      <c r="Q260" s="324" t="str">
        <f t="shared" si="77"/>
        <v>4.4.1  Hohlblöcke (Hbl) - LM21/DM - rho 650  [0,26] (Gruppe 1)</v>
      </c>
      <c r="R260" s="338">
        <f t="shared" si="78"/>
        <v>0.26</v>
      </c>
      <c r="S260" s="1119" t="str">
        <f t="shared" si="82"/>
        <v>4.4.1  Hohlblöcke (Hbl) - LM21/DM</v>
      </c>
      <c r="T260" s="339" t="str">
        <f t="shared" si="65"/>
        <v xml:space="preserve">- rho 650 </v>
      </c>
      <c r="U260" s="339" t="str">
        <f t="shared" si="79"/>
        <v>[0,26]</v>
      </c>
      <c r="V260" s="1118" t="s">
        <v>1700</v>
      </c>
    </row>
    <row r="261" spans="2:22" hidden="1">
      <c r="B261" s="1114"/>
      <c r="C261" s="1114"/>
      <c r="D261" s="228" t="str">
        <f t="shared" si="75"/>
        <v>4.4.1  Hohlblöcke (Hbl), Gruppe 1 - LM21/DM</v>
      </c>
      <c r="F261" s="213" t="s">
        <v>1199</v>
      </c>
      <c r="G261" s="213">
        <v>0.28000000000000003</v>
      </c>
      <c r="H261" s="228" t="str">
        <f t="shared" si="81"/>
        <v xml:space="preserve">5/10 </v>
      </c>
      <c r="K261" s="1073"/>
      <c r="O261" s="324" t="str">
        <f t="shared" si="76"/>
        <v/>
      </c>
      <c r="P261" s="324" t="str">
        <f t="shared" si="80"/>
        <v/>
      </c>
      <c r="Q261" s="324" t="str">
        <f t="shared" si="77"/>
        <v>4.4.1  Hohlblöcke (Hbl) - LM21/DM - rho 700  [0,28] (Gruppe 1)</v>
      </c>
      <c r="R261" s="338">
        <f t="shared" si="78"/>
        <v>0.28000000000000003</v>
      </c>
      <c r="S261" s="1119" t="str">
        <f t="shared" si="82"/>
        <v>4.4.1  Hohlblöcke (Hbl) - LM21/DM</v>
      </c>
      <c r="T261" s="339" t="str">
        <f t="shared" si="65"/>
        <v xml:space="preserve">- rho 700 </v>
      </c>
      <c r="U261" s="339" t="str">
        <f t="shared" si="79"/>
        <v>[0,28]</v>
      </c>
      <c r="V261" s="1118" t="s">
        <v>1700</v>
      </c>
    </row>
    <row r="262" spans="2:22" hidden="1">
      <c r="B262" s="1114"/>
      <c r="C262" s="1114"/>
      <c r="D262" s="228" t="str">
        <f t="shared" si="75"/>
        <v>4.4.1  Hohlblöcke (Hbl), Gruppe 1 - LM21/DM</v>
      </c>
      <c r="F262" s="213" t="s">
        <v>1353</v>
      </c>
      <c r="G262" s="213">
        <v>0.31</v>
      </c>
      <c r="H262" s="228" t="str">
        <f t="shared" si="81"/>
        <v xml:space="preserve">5/10 </v>
      </c>
      <c r="K262" s="1073"/>
      <c r="O262" s="324" t="str">
        <f t="shared" si="76"/>
        <v/>
      </c>
      <c r="P262" s="324" t="str">
        <f t="shared" si="80"/>
        <v/>
      </c>
      <c r="Q262" s="324" t="str">
        <f t="shared" si="77"/>
        <v>4.4.1  Hohlblöcke (Hbl) - LM21/DM - rho 800  [0,31] (Gruppe 1)</v>
      </c>
      <c r="R262" s="338">
        <f t="shared" si="78"/>
        <v>0.31</v>
      </c>
      <c r="S262" s="1119" t="str">
        <f t="shared" si="82"/>
        <v>4.4.1  Hohlblöcke (Hbl) - LM21/DM</v>
      </c>
      <c r="T262" s="339" t="str">
        <f t="shared" si="65"/>
        <v xml:space="preserve">- rho 800 </v>
      </c>
      <c r="U262" s="339" t="str">
        <f t="shared" si="79"/>
        <v>[0,31]</v>
      </c>
      <c r="V262" s="1118" t="s">
        <v>1700</v>
      </c>
    </row>
    <row r="263" spans="2:22" hidden="1">
      <c r="B263" s="1114"/>
      <c r="C263" s="1114"/>
      <c r="D263" s="228" t="str">
        <f t="shared" si="75"/>
        <v>4.4.1  Hohlblöcke (Hbl), Gruppe 1 - LM21/DM</v>
      </c>
      <c r="F263" s="213" t="s">
        <v>1355</v>
      </c>
      <c r="G263" s="213">
        <v>0.34</v>
      </c>
      <c r="H263" s="228" t="str">
        <f t="shared" si="81"/>
        <v xml:space="preserve">5/10 </v>
      </c>
      <c r="K263" s="1073"/>
      <c r="O263" s="324" t="str">
        <f t="shared" si="76"/>
        <v/>
      </c>
      <c r="P263" s="324" t="str">
        <f t="shared" si="80"/>
        <v/>
      </c>
      <c r="Q263" s="324" t="str">
        <f t="shared" si="77"/>
        <v>4.4.1  Hohlblöcke (Hbl) - LM21/DM - rho 900  [0,34] (Gruppe 1)</v>
      </c>
      <c r="R263" s="338">
        <f t="shared" si="78"/>
        <v>0.34</v>
      </c>
      <c r="S263" s="1119" t="str">
        <f t="shared" si="82"/>
        <v>4.4.1  Hohlblöcke (Hbl) - LM21/DM</v>
      </c>
      <c r="T263" s="339" t="str">
        <f t="shared" si="65"/>
        <v xml:space="preserve">- rho 900 </v>
      </c>
      <c r="U263" s="339" t="str">
        <f t="shared" si="79"/>
        <v>[0,34]</v>
      </c>
      <c r="V263" s="1118" t="s">
        <v>1700</v>
      </c>
    </row>
    <row r="264" spans="2:22" hidden="1">
      <c r="D264" s="213" t="s">
        <v>3311</v>
      </c>
      <c r="F264" s="213" t="s">
        <v>1366</v>
      </c>
      <c r="G264" s="213">
        <v>0.21</v>
      </c>
      <c r="H264" s="213" t="s">
        <v>1365</v>
      </c>
      <c r="I264" s="213" t="s">
        <v>1416</v>
      </c>
      <c r="K264" s="1073"/>
      <c r="O264" s="324" t="str">
        <f t="shared" si="76"/>
        <v/>
      </c>
      <c r="P264" s="324" t="str">
        <f t="shared" si="80"/>
        <v/>
      </c>
      <c r="Q264" s="324" t="str">
        <f t="shared" si="77"/>
        <v>4.4.1  Hohlblöcke (Hbl) - LM36 - rho 450  [0,21] (Gruppe 1)</v>
      </c>
      <c r="R264" s="338">
        <f t="shared" si="78"/>
        <v>0.21</v>
      </c>
      <c r="S264" s="1119" t="str">
        <f t="shared" si="82"/>
        <v>4.4.1  Hohlblöcke (Hbl) - LM36</v>
      </c>
      <c r="T264" s="339" t="str">
        <f t="shared" si="65"/>
        <v xml:space="preserve">- rho 450 </v>
      </c>
      <c r="U264" s="339" t="str">
        <f t="shared" si="79"/>
        <v>[0,21]</v>
      </c>
      <c r="V264" s="1118" t="s">
        <v>1700</v>
      </c>
    </row>
    <row r="265" spans="2:22" hidden="1">
      <c r="D265" s="228" t="str">
        <f t="shared" si="75"/>
        <v>4.4.1  Hohlblöcke (Hbl), Gruppe 1 - LM36</v>
      </c>
      <c r="F265" s="213" t="s">
        <v>1367</v>
      </c>
      <c r="G265" s="213">
        <v>0.23</v>
      </c>
      <c r="H265" s="228" t="str">
        <f t="shared" ref="H265:H271" si="83">H264</f>
        <v xml:space="preserve">5/10 </v>
      </c>
      <c r="K265" s="1073"/>
      <c r="O265" s="324" t="str">
        <f t="shared" si="76"/>
        <v/>
      </c>
      <c r="P265" s="324" t="str">
        <f t="shared" si="80"/>
        <v/>
      </c>
      <c r="Q265" s="324" t="str">
        <f t="shared" si="77"/>
        <v>4.4.1  Hohlblöcke (Hbl) - LM36 - rho 500  [0,23] (Gruppe 1)</v>
      </c>
      <c r="R265" s="338">
        <f t="shared" si="78"/>
        <v>0.23</v>
      </c>
      <c r="S265" s="1119" t="str">
        <f t="shared" si="82"/>
        <v>4.4.1  Hohlblöcke (Hbl) - LM36</v>
      </c>
      <c r="T265" s="339" t="str">
        <f t="shared" si="65"/>
        <v xml:space="preserve">- rho 500 </v>
      </c>
      <c r="U265" s="339" t="str">
        <f t="shared" si="79"/>
        <v>[0,23]</v>
      </c>
      <c r="V265" s="1118" t="s">
        <v>1700</v>
      </c>
    </row>
    <row r="266" spans="2:22" hidden="1">
      <c r="D266" s="228" t="str">
        <f t="shared" si="75"/>
        <v>4.4.1  Hohlblöcke (Hbl), Gruppe 1 - LM36</v>
      </c>
      <c r="F266" s="213" t="s">
        <v>1368</v>
      </c>
      <c r="G266" s="213">
        <v>0.24</v>
      </c>
      <c r="H266" s="228" t="str">
        <f t="shared" si="83"/>
        <v xml:space="preserve">5/10 </v>
      </c>
      <c r="K266" s="1073"/>
      <c r="O266" s="324" t="str">
        <f t="shared" si="76"/>
        <v/>
      </c>
      <c r="P266" s="324" t="str">
        <f t="shared" si="80"/>
        <v/>
      </c>
      <c r="Q266" s="324" t="str">
        <f t="shared" si="77"/>
        <v>4.4.1  Hohlblöcke (Hbl) - LM36 - rho 550  [0,24] (Gruppe 1)</v>
      </c>
      <c r="R266" s="338">
        <f t="shared" si="78"/>
        <v>0.24</v>
      </c>
      <c r="S266" s="1119" t="str">
        <f t="shared" si="82"/>
        <v>4.4.1  Hohlblöcke (Hbl) - LM36</v>
      </c>
      <c r="T266" s="339" t="str">
        <f t="shared" si="65"/>
        <v xml:space="preserve">- rho 550 </v>
      </c>
      <c r="U266" s="339" t="str">
        <f t="shared" si="79"/>
        <v>[0,24]</v>
      </c>
      <c r="V266" s="1118" t="s">
        <v>1700</v>
      </c>
    </row>
    <row r="267" spans="2:22" hidden="1">
      <c r="D267" s="228" t="str">
        <f t="shared" si="75"/>
        <v>4.4.1  Hohlblöcke (Hbl), Gruppe 1 - LM36</v>
      </c>
      <c r="F267" s="213" t="s">
        <v>1369</v>
      </c>
      <c r="G267" s="213">
        <v>0.25</v>
      </c>
      <c r="H267" s="228" t="str">
        <f t="shared" si="83"/>
        <v xml:space="preserve">5/10 </v>
      </c>
      <c r="K267" s="1073"/>
      <c r="O267" s="324" t="str">
        <f t="shared" si="76"/>
        <v/>
      </c>
      <c r="P267" s="324" t="str">
        <f t="shared" si="80"/>
        <v/>
      </c>
      <c r="Q267" s="324" t="str">
        <f t="shared" si="77"/>
        <v>4.4.1  Hohlblöcke (Hbl) - LM36 - rho 600  [0,25] (Gruppe 1)</v>
      </c>
      <c r="R267" s="338">
        <f t="shared" si="78"/>
        <v>0.25</v>
      </c>
      <c r="S267" s="1119" t="str">
        <f t="shared" si="82"/>
        <v>4.4.1  Hohlblöcke (Hbl) - LM36</v>
      </c>
      <c r="T267" s="339" t="str">
        <f t="shared" si="65"/>
        <v xml:space="preserve">- rho 600 </v>
      </c>
      <c r="U267" s="339" t="str">
        <f t="shared" si="79"/>
        <v>[0,25]</v>
      </c>
      <c r="V267" s="1118" t="s">
        <v>1700</v>
      </c>
    </row>
    <row r="268" spans="2:22" hidden="1">
      <c r="D268" s="228" t="str">
        <f t="shared" si="75"/>
        <v>4.4.1  Hohlblöcke (Hbl), Gruppe 1 - LM36</v>
      </c>
      <c r="F268" s="213" t="s">
        <v>1370</v>
      </c>
      <c r="G268" s="213">
        <v>0.27</v>
      </c>
      <c r="H268" s="228" t="str">
        <f t="shared" si="83"/>
        <v xml:space="preserve">5/10 </v>
      </c>
      <c r="K268" s="1073"/>
      <c r="O268" s="324" t="str">
        <f t="shared" si="76"/>
        <v/>
      </c>
      <c r="P268" s="324" t="str">
        <f t="shared" si="80"/>
        <v/>
      </c>
      <c r="Q268" s="324" t="str">
        <f t="shared" si="77"/>
        <v>4.4.1  Hohlblöcke (Hbl) - LM36 - rho 650  [0,27] (Gruppe 1)</v>
      </c>
      <c r="R268" s="338">
        <f t="shared" si="78"/>
        <v>0.27</v>
      </c>
      <c r="S268" s="1119" t="str">
        <f t="shared" si="82"/>
        <v>4.4.1  Hohlblöcke (Hbl) - LM36</v>
      </c>
      <c r="T268" s="339" t="str">
        <f t="shared" si="65"/>
        <v xml:space="preserve">- rho 650 </v>
      </c>
      <c r="U268" s="339" t="str">
        <f t="shared" si="79"/>
        <v>[0,27]</v>
      </c>
      <c r="V268" s="1118" t="s">
        <v>1700</v>
      </c>
    </row>
    <row r="269" spans="2:22" hidden="1">
      <c r="D269" s="228" t="str">
        <f t="shared" si="75"/>
        <v>4.4.1  Hohlblöcke (Hbl), Gruppe 1 - LM36</v>
      </c>
      <c r="F269" s="213" t="s">
        <v>1199</v>
      </c>
      <c r="G269" s="213">
        <v>0.28999999999999998</v>
      </c>
      <c r="H269" s="228" t="str">
        <f t="shared" si="83"/>
        <v xml:space="preserve">5/10 </v>
      </c>
      <c r="K269" s="1073"/>
      <c r="O269" s="324" t="str">
        <f t="shared" si="76"/>
        <v/>
      </c>
      <c r="P269" s="324" t="str">
        <f t="shared" si="80"/>
        <v/>
      </c>
      <c r="Q269" s="324" t="str">
        <f t="shared" si="77"/>
        <v>4.4.1  Hohlblöcke (Hbl) - LM36 - rho 700  [0,29] (Gruppe 1)</v>
      </c>
      <c r="R269" s="338">
        <f t="shared" si="78"/>
        <v>0.28999999999999998</v>
      </c>
      <c r="S269" s="1119" t="str">
        <f t="shared" si="82"/>
        <v>4.4.1  Hohlblöcke (Hbl) - LM36</v>
      </c>
      <c r="T269" s="339" t="str">
        <f t="shared" si="65"/>
        <v xml:space="preserve">- rho 700 </v>
      </c>
      <c r="U269" s="339" t="str">
        <f t="shared" si="79"/>
        <v>[0,29]</v>
      </c>
      <c r="V269" s="1118" t="s">
        <v>1700</v>
      </c>
    </row>
    <row r="270" spans="2:22" hidden="1">
      <c r="D270" s="228" t="str">
        <f t="shared" si="75"/>
        <v>4.4.1  Hohlblöcke (Hbl), Gruppe 1 - LM36</v>
      </c>
      <c r="F270" s="213" t="s">
        <v>1353</v>
      </c>
      <c r="G270" s="213">
        <v>0.32</v>
      </c>
      <c r="H270" s="228" t="str">
        <f t="shared" si="83"/>
        <v xml:space="preserve">5/10 </v>
      </c>
      <c r="K270" s="1073"/>
      <c r="O270" s="324" t="str">
        <f t="shared" si="76"/>
        <v/>
      </c>
      <c r="P270" s="324" t="str">
        <f t="shared" si="80"/>
        <v/>
      </c>
      <c r="Q270" s="324" t="str">
        <f t="shared" si="77"/>
        <v>4.4.1  Hohlblöcke (Hbl) - LM36 - rho 800  [0,32] (Gruppe 1)</v>
      </c>
      <c r="R270" s="338">
        <f t="shared" si="78"/>
        <v>0.32</v>
      </c>
      <c r="S270" s="1119" t="str">
        <f t="shared" si="82"/>
        <v>4.4.1  Hohlblöcke (Hbl) - LM36</v>
      </c>
      <c r="T270" s="339" t="str">
        <f t="shared" si="65"/>
        <v xml:space="preserve">- rho 800 </v>
      </c>
      <c r="U270" s="339" t="str">
        <f t="shared" si="79"/>
        <v>[0,32]</v>
      </c>
      <c r="V270" s="1118" t="s">
        <v>1700</v>
      </c>
    </row>
    <row r="271" spans="2:22" hidden="1">
      <c r="D271" s="228" t="str">
        <f t="shared" si="75"/>
        <v>4.4.1  Hohlblöcke (Hbl), Gruppe 1 - LM36</v>
      </c>
      <c r="F271" s="213" t="s">
        <v>1355</v>
      </c>
      <c r="G271" s="213">
        <v>0.36</v>
      </c>
      <c r="H271" s="228" t="str">
        <f t="shared" si="83"/>
        <v xml:space="preserve">5/10 </v>
      </c>
      <c r="K271" s="1073"/>
      <c r="O271" s="324" t="str">
        <f t="shared" si="76"/>
        <v/>
      </c>
      <c r="P271" s="324" t="str">
        <f t="shared" si="80"/>
        <v/>
      </c>
      <c r="Q271" s="324" t="str">
        <f t="shared" si="77"/>
        <v>4.4.1  Hohlblöcke (Hbl) - LM36 - rho 900  [0,36] (Gruppe 1)</v>
      </c>
      <c r="R271" s="338">
        <f t="shared" si="78"/>
        <v>0.36</v>
      </c>
      <c r="S271" s="1119" t="str">
        <f t="shared" si="82"/>
        <v>4.4.1  Hohlblöcke (Hbl) - LM36</v>
      </c>
      <c r="T271" s="339" t="str">
        <f t="shared" si="65"/>
        <v xml:space="preserve">- rho 900 </v>
      </c>
      <c r="U271" s="339" t="str">
        <f t="shared" si="79"/>
        <v>[0,36]</v>
      </c>
      <c r="V271" s="1118" t="s">
        <v>1700</v>
      </c>
    </row>
    <row r="272" spans="2:22" hidden="1">
      <c r="D272" s="213" t="s">
        <v>3310</v>
      </c>
      <c r="F272" s="213" t="s">
        <v>1366</v>
      </c>
      <c r="G272" s="213">
        <v>0.24</v>
      </c>
      <c r="H272" s="213" t="s">
        <v>1365</v>
      </c>
      <c r="I272" s="213" t="s">
        <v>3340</v>
      </c>
      <c r="K272" s="1073"/>
      <c r="O272" s="324" t="str">
        <f t="shared" si="76"/>
        <v/>
      </c>
      <c r="P272" s="324" t="str">
        <f t="shared" si="80"/>
        <v/>
      </c>
      <c r="Q272" s="324" t="str">
        <f t="shared" si="77"/>
        <v>4.4.1  Hohlblöcke (Hbl) - NM - rho 450  [0,24] (Gruppe 1)</v>
      </c>
      <c r="R272" s="338">
        <f t="shared" si="78"/>
        <v>0.24</v>
      </c>
      <c r="S272" s="1119" t="str">
        <f t="shared" si="82"/>
        <v>4.4.1  Hohlblöcke (Hbl) - NM</v>
      </c>
      <c r="T272" s="339" t="str">
        <f t="shared" si="65"/>
        <v xml:space="preserve">- rho 450 </v>
      </c>
      <c r="U272" s="339" t="str">
        <f t="shared" si="79"/>
        <v>[0,24]</v>
      </c>
      <c r="V272" s="1118" t="s">
        <v>1700</v>
      </c>
    </row>
    <row r="273" spans="2:22" hidden="1">
      <c r="D273" s="228" t="str">
        <f t="shared" si="75"/>
        <v>4.4.1  Hohlblöcke (Hbl), Gruppe 1 - NM</v>
      </c>
      <c r="F273" s="213" t="s">
        <v>1367</v>
      </c>
      <c r="G273" s="213">
        <v>0.26</v>
      </c>
      <c r="H273" s="228" t="str">
        <f t="shared" ref="H273:H283" si="84">H272</f>
        <v xml:space="preserve">5/10 </v>
      </c>
      <c r="K273" s="1073"/>
      <c r="O273" s="324" t="str">
        <f t="shared" si="76"/>
        <v/>
      </c>
      <c r="P273" s="324" t="str">
        <f t="shared" si="80"/>
        <v/>
      </c>
      <c r="Q273" s="324" t="str">
        <f t="shared" si="77"/>
        <v>4.4.1  Hohlblöcke (Hbl) - NM - rho 500  [0,26] (Gruppe 1)</v>
      </c>
      <c r="R273" s="338">
        <f t="shared" si="78"/>
        <v>0.26</v>
      </c>
      <c r="S273" s="1119" t="str">
        <f t="shared" si="82"/>
        <v>4.4.1  Hohlblöcke (Hbl) - NM</v>
      </c>
      <c r="T273" s="339" t="str">
        <f t="shared" si="65"/>
        <v xml:space="preserve">- rho 500 </v>
      </c>
      <c r="U273" s="339" t="str">
        <f t="shared" si="79"/>
        <v>[0,26]</v>
      </c>
      <c r="V273" s="1118" t="s">
        <v>1700</v>
      </c>
    </row>
    <row r="274" spans="2:22" hidden="1">
      <c r="D274" s="228" t="str">
        <f t="shared" si="75"/>
        <v>4.4.1  Hohlblöcke (Hbl), Gruppe 1 - NM</v>
      </c>
      <c r="F274" s="213" t="s">
        <v>1368</v>
      </c>
      <c r="G274" s="213">
        <v>0.27</v>
      </c>
      <c r="H274" s="228" t="str">
        <f t="shared" si="84"/>
        <v xml:space="preserve">5/10 </v>
      </c>
      <c r="K274" s="1073"/>
      <c r="O274" s="324" t="str">
        <f t="shared" si="76"/>
        <v/>
      </c>
      <c r="P274" s="324" t="str">
        <f t="shared" si="80"/>
        <v/>
      </c>
      <c r="Q274" s="324" t="str">
        <f t="shared" si="77"/>
        <v>4.4.1  Hohlblöcke (Hbl) - NM - rho 550  [0,27] (Gruppe 1)</v>
      </c>
      <c r="R274" s="338">
        <f t="shared" si="78"/>
        <v>0.27</v>
      </c>
      <c r="S274" s="1119" t="str">
        <f t="shared" si="82"/>
        <v>4.4.1  Hohlblöcke (Hbl) - NM</v>
      </c>
      <c r="T274" s="339" t="str">
        <f t="shared" si="65"/>
        <v xml:space="preserve">- rho 550 </v>
      </c>
      <c r="U274" s="339" t="str">
        <f t="shared" si="79"/>
        <v>[0,27]</v>
      </c>
      <c r="V274" s="1118" t="s">
        <v>1700</v>
      </c>
    </row>
    <row r="275" spans="2:22" hidden="1">
      <c r="D275" s="228" t="str">
        <f t="shared" si="75"/>
        <v>4.4.1  Hohlblöcke (Hbl), Gruppe 1 - NM</v>
      </c>
      <c r="F275" s="213" t="s">
        <v>1369</v>
      </c>
      <c r="G275" s="213">
        <v>0.28999999999999998</v>
      </c>
      <c r="H275" s="228" t="str">
        <f t="shared" si="84"/>
        <v xml:space="preserve">5/10 </v>
      </c>
      <c r="K275" s="1073"/>
      <c r="O275" s="324" t="str">
        <f t="shared" si="76"/>
        <v/>
      </c>
      <c r="P275" s="324" t="str">
        <f t="shared" si="80"/>
        <v/>
      </c>
      <c r="Q275" s="324" t="str">
        <f t="shared" si="77"/>
        <v>4.4.1  Hohlblöcke (Hbl) - NM - rho 600  [0,29] (Gruppe 1)</v>
      </c>
      <c r="R275" s="338">
        <f t="shared" si="78"/>
        <v>0.28999999999999998</v>
      </c>
      <c r="S275" s="1119" t="str">
        <f t="shared" si="82"/>
        <v>4.4.1  Hohlblöcke (Hbl) - NM</v>
      </c>
      <c r="T275" s="339" t="str">
        <f t="shared" ref="T275:T338" si="85" xml:space="preserve"> "- rho "&amp;F275</f>
        <v xml:space="preserve">- rho 600 </v>
      </c>
      <c r="U275" s="339" t="str">
        <f t="shared" si="79"/>
        <v>[0,29]</v>
      </c>
      <c r="V275" s="1118" t="s">
        <v>1700</v>
      </c>
    </row>
    <row r="276" spans="2:22" hidden="1">
      <c r="D276" s="228" t="str">
        <f t="shared" si="75"/>
        <v>4.4.1  Hohlblöcke (Hbl), Gruppe 1 - NM</v>
      </c>
      <c r="F276" s="213" t="s">
        <v>1370</v>
      </c>
      <c r="G276" s="213">
        <v>0.3</v>
      </c>
      <c r="H276" s="228" t="str">
        <f t="shared" si="84"/>
        <v xml:space="preserve">5/10 </v>
      </c>
      <c r="K276" s="1073"/>
      <c r="O276" s="324" t="str">
        <f t="shared" si="76"/>
        <v/>
      </c>
      <c r="P276" s="324" t="str">
        <f t="shared" si="80"/>
        <v/>
      </c>
      <c r="Q276" s="324" t="str">
        <f t="shared" si="77"/>
        <v>4.4.1  Hohlblöcke (Hbl) - NM - rho 650  [0,3] (Gruppe 1)</v>
      </c>
      <c r="R276" s="338">
        <f t="shared" si="78"/>
        <v>0.3</v>
      </c>
      <c r="S276" s="1119" t="str">
        <f t="shared" si="82"/>
        <v>4.4.1  Hohlblöcke (Hbl) - NM</v>
      </c>
      <c r="T276" s="339" t="str">
        <f t="shared" si="85"/>
        <v xml:space="preserve">- rho 650 </v>
      </c>
      <c r="U276" s="339" t="str">
        <f t="shared" si="79"/>
        <v>[0,3]</v>
      </c>
      <c r="V276" s="1118" t="s">
        <v>1700</v>
      </c>
    </row>
    <row r="277" spans="2:22" hidden="1">
      <c r="D277" s="228" t="str">
        <f t="shared" si="75"/>
        <v>4.4.1  Hohlblöcke (Hbl), Gruppe 1 - NM</v>
      </c>
      <c r="F277" s="213" t="s">
        <v>1199</v>
      </c>
      <c r="G277" s="213">
        <v>0.32</v>
      </c>
      <c r="H277" s="228" t="str">
        <f t="shared" si="84"/>
        <v xml:space="preserve">5/10 </v>
      </c>
      <c r="K277" s="1073"/>
      <c r="O277" s="324" t="str">
        <f t="shared" si="76"/>
        <v/>
      </c>
      <c r="P277" s="324" t="str">
        <f t="shared" si="80"/>
        <v/>
      </c>
      <c r="Q277" s="324" t="str">
        <f t="shared" si="77"/>
        <v>4.4.1  Hohlblöcke (Hbl) - NM - rho 700  [0,32] (Gruppe 1)</v>
      </c>
      <c r="R277" s="338">
        <f t="shared" si="78"/>
        <v>0.32</v>
      </c>
      <c r="S277" s="1119" t="str">
        <f t="shared" si="82"/>
        <v>4.4.1  Hohlblöcke (Hbl) - NM</v>
      </c>
      <c r="T277" s="339" t="str">
        <f t="shared" si="85"/>
        <v xml:space="preserve">- rho 700 </v>
      </c>
      <c r="U277" s="339" t="str">
        <f t="shared" si="79"/>
        <v>[0,32]</v>
      </c>
      <c r="V277" s="1118" t="s">
        <v>1700</v>
      </c>
    </row>
    <row r="278" spans="2:22" hidden="1">
      <c r="D278" s="228" t="str">
        <f t="shared" si="75"/>
        <v>4.4.1  Hohlblöcke (Hbl), Gruppe 1 - NM</v>
      </c>
      <c r="F278" s="213" t="s">
        <v>1353</v>
      </c>
      <c r="G278" s="213">
        <v>0.35</v>
      </c>
      <c r="H278" s="228" t="str">
        <f t="shared" si="84"/>
        <v xml:space="preserve">5/10 </v>
      </c>
      <c r="K278" s="1073"/>
      <c r="O278" s="324" t="str">
        <f t="shared" si="76"/>
        <v/>
      </c>
      <c r="P278" s="324" t="str">
        <f t="shared" si="80"/>
        <v/>
      </c>
      <c r="Q278" s="324" t="str">
        <f t="shared" si="77"/>
        <v>4.4.1  Hohlblöcke (Hbl) - NM - rho 800  [0,35] (Gruppe 1)</v>
      </c>
      <c r="R278" s="338">
        <f t="shared" si="78"/>
        <v>0.35</v>
      </c>
      <c r="S278" s="1119" t="str">
        <f t="shared" si="82"/>
        <v>4.4.1  Hohlblöcke (Hbl) - NM</v>
      </c>
      <c r="T278" s="339" t="str">
        <f t="shared" si="85"/>
        <v xml:space="preserve">- rho 800 </v>
      </c>
      <c r="U278" s="339" t="str">
        <f t="shared" si="79"/>
        <v>[0,35]</v>
      </c>
      <c r="V278" s="1118" t="s">
        <v>1700</v>
      </c>
    </row>
    <row r="279" spans="2:22" hidden="1">
      <c r="D279" s="228" t="str">
        <f t="shared" si="75"/>
        <v>4.4.1  Hohlblöcke (Hbl), Gruppe 1 - NM</v>
      </c>
      <c r="F279" s="213" t="s">
        <v>1355</v>
      </c>
      <c r="G279" s="213">
        <v>0.39</v>
      </c>
      <c r="H279" s="228" t="str">
        <f t="shared" si="84"/>
        <v xml:space="preserve">5/10 </v>
      </c>
      <c r="K279" s="1073"/>
      <c r="O279" s="324" t="str">
        <f t="shared" si="76"/>
        <v/>
      </c>
      <c r="P279" s="324" t="str">
        <f t="shared" si="80"/>
        <v/>
      </c>
      <c r="Q279" s="324" t="str">
        <f t="shared" si="77"/>
        <v>4.4.1  Hohlblöcke (Hbl) - NM - rho 900  [0,39] (Gruppe 1)</v>
      </c>
      <c r="R279" s="338">
        <f t="shared" si="78"/>
        <v>0.39</v>
      </c>
      <c r="S279" s="1119" t="str">
        <f t="shared" si="82"/>
        <v>4.4.1  Hohlblöcke (Hbl) - NM</v>
      </c>
      <c r="T279" s="339" t="str">
        <f t="shared" si="85"/>
        <v xml:space="preserve">- rho 900 </v>
      </c>
      <c r="U279" s="339" t="str">
        <f t="shared" si="79"/>
        <v>[0,39]</v>
      </c>
      <c r="V279" s="1118" t="s">
        <v>1700</v>
      </c>
    </row>
    <row r="280" spans="2:22" hidden="1">
      <c r="D280" s="228" t="str">
        <f t="shared" si="75"/>
        <v>4.4.1  Hohlblöcke (Hbl), Gruppe 1 - NM</v>
      </c>
      <c r="F280" s="213" t="s">
        <v>1376</v>
      </c>
      <c r="G280" s="213">
        <v>0.45</v>
      </c>
      <c r="H280" s="228" t="str">
        <f t="shared" si="84"/>
        <v xml:space="preserve">5/10 </v>
      </c>
      <c r="K280" s="1073"/>
      <c r="O280" s="324" t="str">
        <f t="shared" si="76"/>
        <v/>
      </c>
      <c r="P280" s="324" t="str">
        <f t="shared" si="80"/>
        <v/>
      </c>
      <c r="Q280" s="324" t="str">
        <f t="shared" si="77"/>
        <v>4.4.1  Hohlblöcke (Hbl) - NM - rho 1000  [0,45] (Gruppe 1)</v>
      </c>
      <c r="R280" s="338">
        <f t="shared" si="78"/>
        <v>0.45</v>
      </c>
      <c r="S280" s="1119" t="str">
        <f t="shared" si="82"/>
        <v>4.4.1  Hohlblöcke (Hbl) - NM</v>
      </c>
      <c r="T280" s="339" t="str">
        <f t="shared" si="85"/>
        <v xml:space="preserve">- rho 1000 </v>
      </c>
      <c r="U280" s="339" t="str">
        <f t="shared" si="79"/>
        <v>[0,45]</v>
      </c>
      <c r="V280" s="1118" t="s">
        <v>1700</v>
      </c>
    </row>
    <row r="281" spans="2:22" hidden="1">
      <c r="D281" s="228" t="str">
        <f t="shared" si="75"/>
        <v>4.4.1  Hohlblöcke (Hbl), Gruppe 1 - NM</v>
      </c>
      <c r="F281" s="213" t="s">
        <v>1377</v>
      </c>
      <c r="G281" s="213">
        <v>0.53</v>
      </c>
      <c r="H281" s="228" t="str">
        <f t="shared" si="84"/>
        <v xml:space="preserve">5/10 </v>
      </c>
      <c r="K281" s="1073"/>
      <c r="O281" s="324" t="str">
        <f t="shared" si="76"/>
        <v/>
      </c>
      <c r="P281" s="324" t="str">
        <f t="shared" si="80"/>
        <v/>
      </c>
      <c r="Q281" s="324" t="str">
        <f t="shared" si="77"/>
        <v>4.4.1  Hohlblöcke (Hbl) - NM - rho 1200  [0,53] (Gruppe 1)</v>
      </c>
      <c r="R281" s="338">
        <f t="shared" si="78"/>
        <v>0.53</v>
      </c>
      <c r="S281" s="1119" t="str">
        <f t="shared" si="82"/>
        <v>4.4.1  Hohlblöcke (Hbl) - NM</v>
      </c>
      <c r="T281" s="339" t="str">
        <f t="shared" si="85"/>
        <v xml:space="preserve">- rho 1200 </v>
      </c>
      <c r="U281" s="339" t="str">
        <f t="shared" si="79"/>
        <v>[0,53]</v>
      </c>
      <c r="V281" s="1118" t="s">
        <v>1700</v>
      </c>
    </row>
    <row r="282" spans="2:22" hidden="1">
      <c r="D282" s="228" t="str">
        <f t="shared" si="75"/>
        <v>4.4.1  Hohlblöcke (Hbl), Gruppe 1 - NM</v>
      </c>
      <c r="F282" s="213" t="s">
        <v>1378</v>
      </c>
      <c r="G282" s="213">
        <v>0.65</v>
      </c>
      <c r="H282" s="228" t="str">
        <f t="shared" si="84"/>
        <v xml:space="preserve">5/10 </v>
      </c>
      <c r="K282" s="1073"/>
      <c r="O282" s="324" t="str">
        <f t="shared" si="76"/>
        <v/>
      </c>
      <c r="P282" s="324" t="str">
        <f t="shared" si="80"/>
        <v/>
      </c>
      <c r="Q282" s="324" t="str">
        <f t="shared" si="77"/>
        <v>4.4.1  Hohlblöcke (Hbl) - NM - rho 1400  [0,65] (Gruppe 1)</v>
      </c>
      <c r="R282" s="338">
        <f t="shared" si="78"/>
        <v>0.65</v>
      </c>
      <c r="S282" s="1119" t="str">
        <f t="shared" si="82"/>
        <v>4.4.1  Hohlblöcke (Hbl) - NM</v>
      </c>
      <c r="T282" s="339" t="str">
        <f t="shared" si="85"/>
        <v xml:space="preserve">- rho 1400 </v>
      </c>
      <c r="U282" s="339" t="str">
        <f t="shared" si="79"/>
        <v>[0,65]</v>
      </c>
      <c r="V282" s="1118" t="s">
        <v>1700</v>
      </c>
    </row>
    <row r="283" spans="2:22" hidden="1">
      <c r="D283" s="228" t="str">
        <f t="shared" si="75"/>
        <v>4.4.1  Hohlblöcke (Hbl), Gruppe 1 - NM</v>
      </c>
      <c r="F283" s="213" t="s">
        <v>1379</v>
      </c>
      <c r="G283" s="213">
        <v>0.74</v>
      </c>
      <c r="H283" s="228" t="str">
        <f t="shared" si="84"/>
        <v xml:space="preserve">5/10 </v>
      </c>
      <c r="K283" s="1073"/>
      <c r="O283" s="324" t="str">
        <f t="shared" si="76"/>
        <v/>
      </c>
      <c r="P283" s="324" t="str">
        <f t="shared" si="80"/>
        <v/>
      </c>
      <c r="Q283" s="324" t="str">
        <f t="shared" si="77"/>
        <v>4.4.1  Hohlblöcke (Hbl) - NM - rho 1600  [0,74] (Gruppe 1)</v>
      </c>
      <c r="R283" s="338">
        <f t="shared" si="78"/>
        <v>0.74</v>
      </c>
      <c r="S283" s="1119" t="str">
        <f t="shared" si="82"/>
        <v>4.4.1  Hohlblöcke (Hbl) - NM</v>
      </c>
      <c r="T283" s="339" t="str">
        <f t="shared" si="85"/>
        <v xml:space="preserve">- rho 1600 </v>
      </c>
      <c r="U283" s="339" t="str">
        <f t="shared" si="79"/>
        <v>[0,74]</v>
      </c>
      <c r="V283" s="1118" t="s">
        <v>1700</v>
      </c>
    </row>
    <row r="284" spans="2:22" hidden="1">
      <c r="B284" s="213" t="s">
        <v>3312</v>
      </c>
      <c r="D284" s="213" t="s">
        <v>3314</v>
      </c>
      <c r="F284" s="213" t="s">
        <v>1366</v>
      </c>
      <c r="G284" s="213">
        <v>0.22</v>
      </c>
      <c r="H284" s="213" t="s">
        <v>1365</v>
      </c>
      <c r="I284" s="213" t="s">
        <v>1417</v>
      </c>
      <c r="K284" s="1073"/>
      <c r="O284" s="324" t="str">
        <f t="shared" si="76"/>
        <v/>
      </c>
      <c r="P284" s="324" t="str">
        <f t="shared" si="80"/>
        <v>4.4.2  Betonsteine Hbl G2</v>
      </c>
      <c r="Q284" s="324" t="str">
        <f t="shared" si="77"/>
        <v>4.4.2  Hohlblöcke (Hbl) - LM21/DM - rho 450  [0,22] (Gruppe 2)</v>
      </c>
      <c r="R284" s="338">
        <f t="shared" si="78"/>
        <v>0.22</v>
      </c>
      <c r="S284" s="1119" t="str">
        <f>SUBSTITUTE(D284,", Gruppe 2","")</f>
        <v>4.4.2  Hohlblöcke (Hbl) - LM21/DM</v>
      </c>
      <c r="T284" s="339" t="str">
        <f t="shared" si="85"/>
        <v xml:space="preserve">- rho 450 </v>
      </c>
      <c r="U284" s="339" t="str">
        <f t="shared" si="79"/>
        <v>[0,22]</v>
      </c>
      <c r="V284" s="1118" t="s">
        <v>1701</v>
      </c>
    </row>
    <row r="285" spans="2:22" ht="12" hidden="1" customHeight="1">
      <c r="B285" s="1271" t="s">
        <v>1418</v>
      </c>
      <c r="C285" s="1271"/>
      <c r="D285" s="228" t="str">
        <f t="shared" si="75"/>
        <v>4.4.2  Hohlblöcke (Hbl), Gruppe 2 - LM21/DM</v>
      </c>
      <c r="F285" s="213" t="s">
        <v>1367</v>
      </c>
      <c r="G285" s="213">
        <v>0.24</v>
      </c>
      <c r="H285" s="228" t="str">
        <f t="shared" ref="H285:H291" si="86">H284</f>
        <v xml:space="preserve">5/10 </v>
      </c>
      <c r="K285" s="1073"/>
      <c r="O285" s="324" t="str">
        <f t="shared" si="76"/>
        <v/>
      </c>
      <c r="P285" s="324" t="str">
        <f t="shared" si="80"/>
        <v/>
      </c>
      <c r="Q285" s="324" t="str">
        <f t="shared" si="77"/>
        <v>4.4.2  Hohlblöcke (Hbl) - LM21/DM - rho 500  [0,24] (Gruppe 2)</v>
      </c>
      <c r="R285" s="338">
        <f t="shared" si="78"/>
        <v>0.24</v>
      </c>
      <c r="S285" s="1119" t="str">
        <f t="shared" ref="S285:S311" si="87">SUBSTITUTE(D285,", Gruppe 2","")</f>
        <v>4.4.2  Hohlblöcke (Hbl) - LM21/DM</v>
      </c>
      <c r="T285" s="339" t="str">
        <f t="shared" si="85"/>
        <v xml:space="preserve">- rho 500 </v>
      </c>
      <c r="U285" s="339" t="str">
        <f t="shared" si="79"/>
        <v>[0,24]</v>
      </c>
      <c r="V285" s="1118" t="s">
        <v>1701</v>
      </c>
    </row>
    <row r="286" spans="2:22" hidden="1">
      <c r="B286" s="1271"/>
      <c r="C286" s="1271"/>
      <c r="D286" s="228" t="str">
        <f t="shared" si="75"/>
        <v>4.4.2  Hohlblöcke (Hbl), Gruppe 2 - LM21/DM</v>
      </c>
      <c r="F286" s="213" t="s">
        <v>1368</v>
      </c>
      <c r="G286" s="213">
        <v>0.26</v>
      </c>
      <c r="H286" s="228" t="str">
        <f t="shared" si="86"/>
        <v xml:space="preserve">5/10 </v>
      </c>
      <c r="K286" s="1073"/>
      <c r="O286" s="324" t="str">
        <f t="shared" si="76"/>
        <v/>
      </c>
      <c r="P286" s="324" t="str">
        <f t="shared" si="80"/>
        <v/>
      </c>
      <c r="Q286" s="324" t="str">
        <f t="shared" si="77"/>
        <v>4.4.2  Hohlblöcke (Hbl) - LM21/DM - rho 550  [0,26] (Gruppe 2)</v>
      </c>
      <c r="R286" s="338">
        <f t="shared" si="78"/>
        <v>0.26</v>
      </c>
      <c r="S286" s="1119" t="str">
        <f t="shared" si="87"/>
        <v>4.4.2  Hohlblöcke (Hbl) - LM21/DM</v>
      </c>
      <c r="T286" s="339" t="str">
        <f t="shared" si="85"/>
        <v xml:space="preserve">- rho 550 </v>
      </c>
      <c r="U286" s="339" t="str">
        <f t="shared" si="79"/>
        <v>[0,26]</v>
      </c>
      <c r="V286" s="1118" t="s">
        <v>1701</v>
      </c>
    </row>
    <row r="287" spans="2:22" hidden="1">
      <c r="B287" s="1271"/>
      <c r="C287" s="1271"/>
      <c r="D287" s="228" t="str">
        <f t="shared" si="75"/>
        <v>4.4.2  Hohlblöcke (Hbl), Gruppe 2 - LM21/DM</v>
      </c>
      <c r="F287" s="213" t="s">
        <v>1369</v>
      </c>
      <c r="G287" s="213">
        <v>0.27</v>
      </c>
      <c r="H287" s="228" t="str">
        <f t="shared" si="86"/>
        <v xml:space="preserve">5/10 </v>
      </c>
      <c r="K287" s="1073"/>
      <c r="O287" s="324" t="str">
        <f t="shared" si="76"/>
        <v/>
      </c>
      <c r="P287" s="324" t="str">
        <f t="shared" si="80"/>
        <v/>
      </c>
      <c r="Q287" s="324" t="str">
        <f t="shared" si="77"/>
        <v>4.4.2  Hohlblöcke (Hbl) - LM21/DM - rho 600  [0,27] (Gruppe 2)</v>
      </c>
      <c r="R287" s="338">
        <f t="shared" si="78"/>
        <v>0.27</v>
      </c>
      <c r="S287" s="1119" t="str">
        <f t="shared" si="87"/>
        <v>4.4.2  Hohlblöcke (Hbl) - LM21/DM</v>
      </c>
      <c r="T287" s="339" t="str">
        <f t="shared" si="85"/>
        <v xml:space="preserve">- rho 600 </v>
      </c>
      <c r="U287" s="339" t="str">
        <f t="shared" si="79"/>
        <v>[0,27]</v>
      </c>
      <c r="V287" s="1118" t="s">
        <v>1701</v>
      </c>
    </row>
    <row r="288" spans="2:22" hidden="1">
      <c r="B288" s="1271"/>
      <c r="C288" s="1271"/>
      <c r="D288" s="228" t="str">
        <f t="shared" si="75"/>
        <v>4.4.2  Hohlblöcke (Hbl), Gruppe 2 - LM21/DM</v>
      </c>
      <c r="F288" s="213" t="s">
        <v>1370</v>
      </c>
      <c r="G288" s="213">
        <v>0.28999999999999998</v>
      </c>
      <c r="H288" s="228" t="str">
        <f t="shared" si="86"/>
        <v xml:space="preserve">5/10 </v>
      </c>
      <c r="K288" s="1073"/>
      <c r="O288" s="324" t="str">
        <f t="shared" si="76"/>
        <v/>
      </c>
      <c r="P288" s="324" t="str">
        <f t="shared" si="80"/>
        <v/>
      </c>
      <c r="Q288" s="324" t="str">
        <f t="shared" si="77"/>
        <v>4.4.2  Hohlblöcke (Hbl) - LM21/DM - rho 650  [0,29] (Gruppe 2)</v>
      </c>
      <c r="R288" s="338">
        <f t="shared" si="78"/>
        <v>0.28999999999999998</v>
      </c>
      <c r="S288" s="1119" t="str">
        <f t="shared" si="87"/>
        <v>4.4.2  Hohlblöcke (Hbl) - LM21/DM</v>
      </c>
      <c r="T288" s="339" t="str">
        <f t="shared" si="85"/>
        <v xml:space="preserve">- rho 650 </v>
      </c>
      <c r="U288" s="339" t="str">
        <f t="shared" si="79"/>
        <v>[0,29]</v>
      </c>
      <c r="V288" s="1118" t="s">
        <v>1701</v>
      </c>
    </row>
    <row r="289" spans="4:22" hidden="1">
      <c r="D289" s="228" t="str">
        <f t="shared" si="75"/>
        <v>4.4.2  Hohlblöcke (Hbl), Gruppe 2 - LM21/DM</v>
      </c>
      <c r="F289" s="213" t="s">
        <v>1199</v>
      </c>
      <c r="G289" s="213">
        <v>0.3</v>
      </c>
      <c r="H289" s="228" t="str">
        <f t="shared" si="86"/>
        <v xml:space="preserve">5/10 </v>
      </c>
      <c r="K289" s="1073"/>
      <c r="O289" s="324" t="str">
        <f t="shared" si="76"/>
        <v/>
      </c>
      <c r="P289" s="324" t="str">
        <f t="shared" si="80"/>
        <v/>
      </c>
      <c r="Q289" s="324" t="str">
        <f t="shared" si="77"/>
        <v>4.4.2  Hohlblöcke (Hbl) - LM21/DM - rho 700  [0,3] (Gruppe 2)</v>
      </c>
      <c r="R289" s="338">
        <f t="shared" si="78"/>
        <v>0.3</v>
      </c>
      <c r="S289" s="1119" t="str">
        <f t="shared" si="87"/>
        <v>4.4.2  Hohlblöcke (Hbl) - LM21/DM</v>
      </c>
      <c r="T289" s="339" t="str">
        <f t="shared" si="85"/>
        <v xml:space="preserve">- rho 700 </v>
      </c>
      <c r="U289" s="339" t="str">
        <f t="shared" si="79"/>
        <v>[0,3]</v>
      </c>
      <c r="V289" s="1118" t="s">
        <v>1701</v>
      </c>
    </row>
    <row r="290" spans="4:22" hidden="1">
      <c r="D290" s="228" t="str">
        <f t="shared" si="75"/>
        <v>4.4.2  Hohlblöcke (Hbl), Gruppe 2 - LM21/DM</v>
      </c>
      <c r="F290" s="213" t="s">
        <v>1353</v>
      </c>
      <c r="G290" s="213">
        <v>0.34</v>
      </c>
      <c r="H290" s="228" t="str">
        <f t="shared" si="86"/>
        <v xml:space="preserve">5/10 </v>
      </c>
      <c r="K290" s="1073"/>
      <c r="O290" s="324" t="str">
        <f t="shared" si="76"/>
        <v/>
      </c>
      <c r="P290" s="324" t="str">
        <f t="shared" si="80"/>
        <v/>
      </c>
      <c r="Q290" s="324" t="str">
        <f t="shared" si="77"/>
        <v>4.4.2  Hohlblöcke (Hbl) - LM21/DM - rho 800  [0,34] (Gruppe 2)</v>
      </c>
      <c r="R290" s="338">
        <f t="shared" si="78"/>
        <v>0.34</v>
      </c>
      <c r="S290" s="1119" t="str">
        <f t="shared" si="87"/>
        <v>4.4.2  Hohlblöcke (Hbl) - LM21/DM</v>
      </c>
      <c r="T290" s="339" t="str">
        <f t="shared" si="85"/>
        <v xml:space="preserve">- rho 800 </v>
      </c>
      <c r="U290" s="339" t="str">
        <f t="shared" si="79"/>
        <v>[0,34]</v>
      </c>
      <c r="V290" s="1118" t="s">
        <v>1701</v>
      </c>
    </row>
    <row r="291" spans="4:22" hidden="1">
      <c r="D291" s="228" t="str">
        <f t="shared" si="75"/>
        <v>4.4.2  Hohlblöcke (Hbl), Gruppe 2 - LM21/DM</v>
      </c>
      <c r="F291" s="213" t="s">
        <v>1355</v>
      </c>
      <c r="G291" s="213">
        <v>0.37</v>
      </c>
      <c r="H291" s="228" t="str">
        <f t="shared" si="86"/>
        <v xml:space="preserve">5/10 </v>
      </c>
      <c r="K291" s="1073"/>
      <c r="O291" s="324" t="str">
        <f t="shared" si="76"/>
        <v/>
      </c>
      <c r="P291" s="324" t="str">
        <f t="shared" si="80"/>
        <v/>
      </c>
      <c r="Q291" s="324" t="str">
        <f t="shared" si="77"/>
        <v>4.4.2  Hohlblöcke (Hbl) - LM21/DM - rho 900  [0,37] (Gruppe 2)</v>
      </c>
      <c r="R291" s="338">
        <f t="shared" si="78"/>
        <v>0.37</v>
      </c>
      <c r="S291" s="1119" t="str">
        <f t="shared" si="87"/>
        <v>4.4.2  Hohlblöcke (Hbl) - LM21/DM</v>
      </c>
      <c r="T291" s="339" t="str">
        <f t="shared" si="85"/>
        <v xml:space="preserve">- rho 900 </v>
      </c>
      <c r="U291" s="339" t="str">
        <f t="shared" si="79"/>
        <v>[0,37]</v>
      </c>
      <c r="V291" s="1118" t="s">
        <v>1701</v>
      </c>
    </row>
    <row r="292" spans="4:22" hidden="1">
      <c r="D292" s="213" t="s">
        <v>3315</v>
      </c>
      <c r="F292" s="213" t="s">
        <v>1366</v>
      </c>
      <c r="G292" s="213">
        <v>0.23</v>
      </c>
      <c r="H292" s="213" t="s">
        <v>1365</v>
      </c>
      <c r="I292" s="213" t="s">
        <v>1417</v>
      </c>
      <c r="K292" s="1073"/>
      <c r="O292" s="324" t="str">
        <f t="shared" si="76"/>
        <v/>
      </c>
      <c r="P292" s="324" t="str">
        <f t="shared" si="80"/>
        <v/>
      </c>
      <c r="Q292" s="324" t="str">
        <f t="shared" si="77"/>
        <v>4.4.2  Hohlblöcke (Hbl) - LM36 - rho 450  [0,23] (Gruppe 2)</v>
      </c>
      <c r="R292" s="338">
        <f t="shared" si="78"/>
        <v>0.23</v>
      </c>
      <c r="S292" s="1119" t="str">
        <f t="shared" si="87"/>
        <v>4.4.2  Hohlblöcke (Hbl) - LM36</v>
      </c>
      <c r="T292" s="339" t="str">
        <f t="shared" si="85"/>
        <v xml:space="preserve">- rho 450 </v>
      </c>
      <c r="U292" s="339" t="str">
        <f t="shared" si="79"/>
        <v>[0,23]</v>
      </c>
      <c r="V292" s="1118" t="s">
        <v>1701</v>
      </c>
    </row>
    <row r="293" spans="4:22" hidden="1">
      <c r="D293" s="228" t="str">
        <f t="shared" si="75"/>
        <v>4.4.2  Hohlblöcke (Hbl), Gruppe 2 - LM36</v>
      </c>
      <c r="F293" s="213" t="s">
        <v>1367</v>
      </c>
      <c r="G293" s="213">
        <v>0.25</v>
      </c>
      <c r="H293" s="228" t="str">
        <f t="shared" ref="H293:H299" si="88">H292</f>
        <v xml:space="preserve">5/10 </v>
      </c>
      <c r="K293" s="1073"/>
      <c r="O293" s="324" t="str">
        <f t="shared" si="76"/>
        <v/>
      </c>
      <c r="P293" s="324" t="str">
        <f t="shared" si="80"/>
        <v/>
      </c>
      <c r="Q293" s="324" t="str">
        <f t="shared" si="77"/>
        <v>4.4.2  Hohlblöcke (Hbl) - LM36 - rho 500  [0,25] (Gruppe 2)</v>
      </c>
      <c r="R293" s="338">
        <f t="shared" si="78"/>
        <v>0.25</v>
      </c>
      <c r="S293" s="1119" t="str">
        <f t="shared" si="87"/>
        <v>4.4.2  Hohlblöcke (Hbl) - LM36</v>
      </c>
      <c r="T293" s="339" t="str">
        <f t="shared" si="85"/>
        <v xml:space="preserve">- rho 500 </v>
      </c>
      <c r="U293" s="339" t="str">
        <f t="shared" si="79"/>
        <v>[0,25]</v>
      </c>
      <c r="V293" s="1118" t="s">
        <v>1701</v>
      </c>
    </row>
    <row r="294" spans="4:22" hidden="1">
      <c r="D294" s="228" t="str">
        <f t="shared" si="75"/>
        <v>4.4.2  Hohlblöcke (Hbl), Gruppe 2 - LM36</v>
      </c>
      <c r="F294" s="213" t="s">
        <v>1368</v>
      </c>
      <c r="G294" s="213">
        <v>0.27</v>
      </c>
      <c r="H294" s="228" t="str">
        <f t="shared" si="88"/>
        <v xml:space="preserve">5/10 </v>
      </c>
      <c r="K294" s="1073"/>
      <c r="O294" s="324" t="str">
        <f t="shared" si="76"/>
        <v/>
      </c>
      <c r="P294" s="324" t="str">
        <f t="shared" si="80"/>
        <v/>
      </c>
      <c r="Q294" s="324" t="str">
        <f t="shared" si="77"/>
        <v>4.4.2  Hohlblöcke (Hbl) - LM36 - rho 550  [0,27] (Gruppe 2)</v>
      </c>
      <c r="R294" s="338">
        <f t="shared" si="78"/>
        <v>0.27</v>
      </c>
      <c r="S294" s="1119" t="str">
        <f t="shared" si="87"/>
        <v>4.4.2  Hohlblöcke (Hbl) - LM36</v>
      </c>
      <c r="T294" s="339" t="str">
        <f t="shared" si="85"/>
        <v xml:space="preserve">- rho 550 </v>
      </c>
      <c r="U294" s="339" t="str">
        <f t="shared" si="79"/>
        <v>[0,27]</v>
      </c>
      <c r="V294" s="1118" t="s">
        <v>1701</v>
      </c>
    </row>
    <row r="295" spans="4:22" hidden="1">
      <c r="D295" s="228" t="str">
        <f t="shared" si="75"/>
        <v>4.4.2  Hohlblöcke (Hbl), Gruppe 2 - LM36</v>
      </c>
      <c r="F295" s="213" t="s">
        <v>1369</v>
      </c>
      <c r="G295" s="213">
        <v>0.28000000000000003</v>
      </c>
      <c r="H295" s="228" t="str">
        <f t="shared" si="88"/>
        <v xml:space="preserve">5/10 </v>
      </c>
      <c r="K295" s="1073"/>
      <c r="O295" s="324" t="str">
        <f t="shared" si="76"/>
        <v/>
      </c>
      <c r="P295" s="324" t="str">
        <f t="shared" si="80"/>
        <v/>
      </c>
      <c r="Q295" s="324" t="str">
        <f t="shared" si="77"/>
        <v>4.4.2  Hohlblöcke (Hbl) - LM36 - rho 600  [0,28] (Gruppe 2)</v>
      </c>
      <c r="R295" s="338">
        <f t="shared" si="78"/>
        <v>0.28000000000000003</v>
      </c>
      <c r="S295" s="1119" t="str">
        <f t="shared" si="87"/>
        <v>4.4.2  Hohlblöcke (Hbl) - LM36</v>
      </c>
      <c r="T295" s="339" t="str">
        <f t="shared" si="85"/>
        <v xml:space="preserve">- rho 600 </v>
      </c>
      <c r="U295" s="339" t="str">
        <f t="shared" si="79"/>
        <v>[0,28]</v>
      </c>
      <c r="V295" s="1118" t="s">
        <v>1701</v>
      </c>
    </row>
    <row r="296" spans="4:22" hidden="1">
      <c r="D296" s="228" t="str">
        <f t="shared" si="75"/>
        <v>4.4.2  Hohlblöcke (Hbl), Gruppe 2 - LM36</v>
      </c>
      <c r="F296" s="213" t="s">
        <v>1370</v>
      </c>
      <c r="G296" s="213">
        <v>0.3</v>
      </c>
      <c r="H296" s="228" t="str">
        <f t="shared" si="88"/>
        <v xml:space="preserve">5/10 </v>
      </c>
      <c r="K296" s="1073"/>
      <c r="O296" s="324" t="str">
        <f t="shared" si="76"/>
        <v/>
      </c>
      <c r="P296" s="324" t="str">
        <f t="shared" si="80"/>
        <v/>
      </c>
      <c r="Q296" s="324" t="str">
        <f t="shared" si="77"/>
        <v>4.4.2  Hohlblöcke (Hbl) - LM36 - rho 650  [0,3] (Gruppe 2)</v>
      </c>
      <c r="R296" s="338">
        <f t="shared" si="78"/>
        <v>0.3</v>
      </c>
      <c r="S296" s="1119" t="str">
        <f t="shared" si="87"/>
        <v>4.4.2  Hohlblöcke (Hbl) - LM36</v>
      </c>
      <c r="T296" s="339" t="str">
        <f t="shared" si="85"/>
        <v xml:space="preserve">- rho 650 </v>
      </c>
      <c r="U296" s="339" t="str">
        <f t="shared" si="79"/>
        <v>[0,3]</v>
      </c>
      <c r="V296" s="1118" t="s">
        <v>1701</v>
      </c>
    </row>
    <row r="297" spans="4:22" hidden="1">
      <c r="D297" s="228" t="str">
        <f t="shared" si="75"/>
        <v>4.4.2  Hohlblöcke (Hbl), Gruppe 2 - LM36</v>
      </c>
      <c r="F297" s="213" t="s">
        <v>1199</v>
      </c>
      <c r="G297" s="213">
        <v>0.32</v>
      </c>
      <c r="H297" s="228" t="str">
        <f t="shared" si="88"/>
        <v xml:space="preserve">5/10 </v>
      </c>
      <c r="K297" s="1073"/>
      <c r="O297" s="324" t="str">
        <f t="shared" si="76"/>
        <v/>
      </c>
      <c r="P297" s="324" t="str">
        <f t="shared" si="80"/>
        <v/>
      </c>
      <c r="Q297" s="324" t="str">
        <f t="shared" si="77"/>
        <v>4.4.2  Hohlblöcke (Hbl) - LM36 - rho 700  [0,32] (Gruppe 2)</v>
      </c>
      <c r="R297" s="338">
        <f t="shared" si="78"/>
        <v>0.32</v>
      </c>
      <c r="S297" s="1119" t="str">
        <f t="shared" si="87"/>
        <v>4.4.2  Hohlblöcke (Hbl) - LM36</v>
      </c>
      <c r="T297" s="339" t="str">
        <f t="shared" si="85"/>
        <v xml:space="preserve">- rho 700 </v>
      </c>
      <c r="U297" s="339" t="str">
        <f t="shared" si="79"/>
        <v>[0,32]</v>
      </c>
      <c r="V297" s="1118" t="s">
        <v>1701</v>
      </c>
    </row>
    <row r="298" spans="4:22" hidden="1">
      <c r="D298" s="228" t="str">
        <f t="shared" si="75"/>
        <v>4.4.2  Hohlblöcke (Hbl), Gruppe 2 - LM36</v>
      </c>
      <c r="F298" s="213" t="s">
        <v>1353</v>
      </c>
      <c r="G298" s="213">
        <v>0.36</v>
      </c>
      <c r="H298" s="228" t="str">
        <f t="shared" si="88"/>
        <v xml:space="preserve">5/10 </v>
      </c>
      <c r="K298" s="1073"/>
      <c r="O298" s="324" t="str">
        <f t="shared" si="76"/>
        <v/>
      </c>
      <c r="P298" s="324" t="str">
        <f t="shared" si="80"/>
        <v/>
      </c>
      <c r="Q298" s="324" t="str">
        <f t="shared" si="77"/>
        <v>4.4.2  Hohlblöcke (Hbl) - LM36 - rho 800  [0,36] (Gruppe 2)</v>
      </c>
      <c r="R298" s="338">
        <f t="shared" si="78"/>
        <v>0.36</v>
      </c>
      <c r="S298" s="1119" t="str">
        <f t="shared" si="87"/>
        <v>4.4.2  Hohlblöcke (Hbl) - LM36</v>
      </c>
      <c r="T298" s="339" t="str">
        <f t="shared" si="85"/>
        <v xml:space="preserve">- rho 800 </v>
      </c>
      <c r="U298" s="339" t="str">
        <f t="shared" si="79"/>
        <v>[0,36]</v>
      </c>
      <c r="V298" s="1118" t="s">
        <v>1701</v>
      </c>
    </row>
    <row r="299" spans="4:22" hidden="1">
      <c r="D299" s="228" t="str">
        <f t="shared" si="75"/>
        <v>4.4.2  Hohlblöcke (Hbl), Gruppe 2 - LM36</v>
      </c>
      <c r="F299" s="213" t="s">
        <v>1355</v>
      </c>
      <c r="G299" s="213">
        <v>0.4</v>
      </c>
      <c r="H299" s="228" t="str">
        <f t="shared" si="88"/>
        <v xml:space="preserve">5/10 </v>
      </c>
      <c r="K299" s="1073"/>
      <c r="O299" s="324" t="str">
        <f t="shared" si="76"/>
        <v/>
      </c>
      <c r="P299" s="324" t="str">
        <f t="shared" si="80"/>
        <v/>
      </c>
      <c r="Q299" s="324" t="str">
        <f t="shared" si="77"/>
        <v>4.4.2  Hohlblöcke (Hbl) - LM36 - rho 900  [0,4] (Gruppe 2)</v>
      </c>
      <c r="R299" s="338">
        <f t="shared" si="78"/>
        <v>0.4</v>
      </c>
      <c r="S299" s="1119" t="str">
        <f t="shared" si="87"/>
        <v>4.4.2  Hohlblöcke (Hbl) - LM36</v>
      </c>
      <c r="T299" s="339" t="str">
        <f t="shared" si="85"/>
        <v xml:space="preserve">- rho 900 </v>
      </c>
      <c r="U299" s="339" t="str">
        <f t="shared" si="79"/>
        <v>[0,4]</v>
      </c>
      <c r="V299" s="1118" t="s">
        <v>1701</v>
      </c>
    </row>
    <row r="300" spans="4:22" hidden="1">
      <c r="D300" s="213" t="s">
        <v>3316</v>
      </c>
      <c r="F300" s="213" t="s">
        <v>1366</v>
      </c>
      <c r="G300" s="213">
        <v>0.28000000000000003</v>
      </c>
      <c r="H300" s="213" t="s">
        <v>1365</v>
      </c>
      <c r="I300" s="213" t="s">
        <v>1176</v>
      </c>
      <c r="K300" s="1073"/>
      <c r="O300" s="324" t="str">
        <f t="shared" si="76"/>
        <v/>
      </c>
      <c r="P300" s="324" t="str">
        <f t="shared" si="80"/>
        <v/>
      </c>
      <c r="Q300" s="324" t="str">
        <f t="shared" si="77"/>
        <v>4.4.2  Hohlblöcke (Hbl) - NM - rho 450  [0,28] (Gruppe 2)</v>
      </c>
      <c r="R300" s="338">
        <f t="shared" si="78"/>
        <v>0.28000000000000003</v>
      </c>
      <c r="S300" s="1119" t="str">
        <f t="shared" si="87"/>
        <v>4.4.2  Hohlblöcke (Hbl) - NM</v>
      </c>
      <c r="T300" s="339" t="str">
        <f t="shared" si="85"/>
        <v xml:space="preserve">- rho 450 </v>
      </c>
      <c r="U300" s="339" t="str">
        <f t="shared" si="79"/>
        <v>[0,28]</v>
      </c>
      <c r="V300" s="1118" t="s">
        <v>1701</v>
      </c>
    </row>
    <row r="301" spans="4:22" hidden="1">
      <c r="D301" s="228" t="str">
        <f t="shared" si="75"/>
        <v>4.4.2  Hohlblöcke (Hbl), Gruppe 2 - NM</v>
      </c>
      <c r="F301" s="213" t="s">
        <v>1367</v>
      </c>
      <c r="G301" s="213">
        <v>0.28999999999999998</v>
      </c>
      <c r="H301" s="228" t="str">
        <f t="shared" ref="H301:H311" si="89">H300</f>
        <v xml:space="preserve">5/10 </v>
      </c>
      <c r="K301" s="1073"/>
      <c r="O301" s="324" t="str">
        <f t="shared" si="76"/>
        <v/>
      </c>
      <c r="P301" s="324" t="str">
        <f t="shared" si="80"/>
        <v/>
      </c>
      <c r="Q301" s="324" t="str">
        <f t="shared" si="77"/>
        <v>4.4.2  Hohlblöcke (Hbl) - NM - rho 500  [0,29] (Gruppe 2)</v>
      </c>
      <c r="R301" s="338">
        <f t="shared" si="78"/>
        <v>0.28999999999999998</v>
      </c>
      <c r="S301" s="1119" t="str">
        <f t="shared" si="87"/>
        <v>4.4.2  Hohlblöcke (Hbl) - NM</v>
      </c>
      <c r="T301" s="339" t="str">
        <f t="shared" si="85"/>
        <v xml:space="preserve">- rho 500 </v>
      </c>
      <c r="U301" s="339" t="str">
        <f t="shared" si="79"/>
        <v>[0,29]</v>
      </c>
      <c r="V301" s="1118" t="s">
        <v>1701</v>
      </c>
    </row>
    <row r="302" spans="4:22" hidden="1">
      <c r="D302" s="228" t="str">
        <f t="shared" si="75"/>
        <v>4.4.2  Hohlblöcke (Hbl), Gruppe 2 - NM</v>
      </c>
      <c r="F302" s="213" t="s">
        <v>1368</v>
      </c>
      <c r="G302" s="213">
        <v>0.31</v>
      </c>
      <c r="H302" s="228" t="str">
        <f t="shared" si="89"/>
        <v xml:space="preserve">5/10 </v>
      </c>
      <c r="K302" s="1073"/>
      <c r="O302" s="324" t="str">
        <f t="shared" si="76"/>
        <v/>
      </c>
      <c r="P302" s="324" t="str">
        <f t="shared" si="80"/>
        <v/>
      </c>
      <c r="Q302" s="324" t="str">
        <f t="shared" si="77"/>
        <v>4.4.2  Hohlblöcke (Hbl) - NM - rho 550  [0,31] (Gruppe 2)</v>
      </c>
      <c r="R302" s="338">
        <f t="shared" si="78"/>
        <v>0.31</v>
      </c>
      <c r="S302" s="1119" t="str">
        <f t="shared" si="87"/>
        <v>4.4.2  Hohlblöcke (Hbl) - NM</v>
      </c>
      <c r="T302" s="339" t="str">
        <f t="shared" si="85"/>
        <v xml:space="preserve">- rho 550 </v>
      </c>
      <c r="U302" s="339" t="str">
        <f t="shared" si="79"/>
        <v>[0,31]</v>
      </c>
      <c r="V302" s="1118" t="s">
        <v>1701</v>
      </c>
    </row>
    <row r="303" spans="4:22" hidden="1">
      <c r="D303" s="228" t="str">
        <f t="shared" si="75"/>
        <v>4.4.2  Hohlblöcke (Hbl), Gruppe 2 - NM</v>
      </c>
      <c r="F303" s="213" t="s">
        <v>1369</v>
      </c>
      <c r="G303" s="213">
        <v>0.32</v>
      </c>
      <c r="H303" s="228" t="str">
        <f t="shared" si="89"/>
        <v xml:space="preserve">5/10 </v>
      </c>
      <c r="K303" s="1073"/>
      <c r="O303" s="324" t="str">
        <f t="shared" si="76"/>
        <v/>
      </c>
      <c r="P303" s="324" t="str">
        <f t="shared" si="80"/>
        <v/>
      </c>
      <c r="Q303" s="324" t="str">
        <f t="shared" si="77"/>
        <v>4.4.2  Hohlblöcke (Hbl) - NM - rho 600  [0,32] (Gruppe 2)</v>
      </c>
      <c r="R303" s="338">
        <f t="shared" si="78"/>
        <v>0.32</v>
      </c>
      <c r="S303" s="1119" t="str">
        <f t="shared" si="87"/>
        <v>4.4.2  Hohlblöcke (Hbl) - NM</v>
      </c>
      <c r="T303" s="339" t="str">
        <f t="shared" si="85"/>
        <v xml:space="preserve">- rho 600 </v>
      </c>
      <c r="U303" s="339" t="str">
        <f t="shared" si="79"/>
        <v>[0,32]</v>
      </c>
      <c r="V303" s="1118" t="s">
        <v>1701</v>
      </c>
    </row>
    <row r="304" spans="4:22" hidden="1">
      <c r="D304" s="228" t="str">
        <f t="shared" ref="D304:D367" si="90">D303</f>
        <v>4.4.2  Hohlblöcke (Hbl), Gruppe 2 - NM</v>
      </c>
      <c r="F304" s="213" t="s">
        <v>1370</v>
      </c>
      <c r="G304" s="213">
        <v>0.34</v>
      </c>
      <c r="H304" s="228" t="str">
        <f t="shared" si="89"/>
        <v xml:space="preserve">5/10 </v>
      </c>
      <c r="K304" s="1073"/>
      <c r="O304" s="324" t="str">
        <f t="shared" si="76"/>
        <v/>
      </c>
      <c r="P304" s="324" t="str">
        <f t="shared" si="80"/>
        <v/>
      </c>
      <c r="Q304" s="324" t="str">
        <f t="shared" si="77"/>
        <v>4.4.2  Hohlblöcke (Hbl) - NM - rho 650  [0,34] (Gruppe 2)</v>
      </c>
      <c r="R304" s="338">
        <f t="shared" si="78"/>
        <v>0.34</v>
      </c>
      <c r="S304" s="1119" t="str">
        <f t="shared" si="87"/>
        <v>4.4.2  Hohlblöcke (Hbl) - NM</v>
      </c>
      <c r="T304" s="339" t="str">
        <f t="shared" si="85"/>
        <v xml:space="preserve">- rho 650 </v>
      </c>
      <c r="U304" s="339" t="str">
        <f t="shared" si="79"/>
        <v>[0,34]</v>
      </c>
      <c r="V304" s="1118" t="s">
        <v>1701</v>
      </c>
    </row>
    <row r="305" spans="2:22" hidden="1">
      <c r="D305" s="228" t="str">
        <f t="shared" si="90"/>
        <v>4.4.2  Hohlblöcke (Hbl), Gruppe 2 - NM</v>
      </c>
      <c r="F305" s="213" t="s">
        <v>1199</v>
      </c>
      <c r="G305" s="213">
        <v>0.36</v>
      </c>
      <c r="H305" s="228" t="str">
        <f t="shared" si="89"/>
        <v xml:space="preserve">5/10 </v>
      </c>
      <c r="K305" s="1073"/>
      <c r="O305" s="324" t="str">
        <f t="shared" si="76"/>
        <v/>
      </c>
      <c r="P305" s="324" t="str">
        <f t="shared" si="80"/>
        <v/>
      </c>
      <c r="Q305" s="324" t="str">
        <f t="shared" si="77"/>
        <v>4.4.2  Hohlblöcke (Hbl) - NM - rho 700  [0,36] (Gruppe 2)</v>
      </c>
      <c r="R305" s="338">
        <f t="shared" si="78"/>
        <v>0.36</v>
      </c>
      <c r="S305" s="1119" t="str">
        <f t="shared" si="87"/>
        <v>4.4.2  Hohlblöcke (Hbl) - NM</v>
      </c>
      <c r="T305" s="339" t="str">
        <f t="shared" si="85"/>
        <v xml:space="preserve">- rho 700 </v>
      </c>
      <c r="U305" s="339" t="str">
        <f t="shared" si="79"/>
        <v>[0,36]</v>
      </c>
      <c r="V305" s="1118" t="s">
        <v>1701</v>
      </c>
    </row>
    <row r="306" spans="2:22" hidden="1">
      <c r="D306" s="228" t="str">
        <f t="shared" si="90"/>
        <v>4.4.2  Hohlblöcke (Hbl), Gruppe 2 - NM</v>
      </c>
      <c r="F306" s="213" t="s">
        <v>1353</v>
      </c>
      <c r="G306" s="213">
        <v>0.41</v>
      </c>
      <c r="H306" s="228" t="str">
        <f t="shared" si="89"/>
        <v xml:space="preserve">5/10 </v>
      </c>
      <c r="K306" s="1073"/>
      <c r="O306" s="324" t="str">
        <f t="shared" si="76"/>
        <v/>
      </c>
      <c r="P306" s="324" t="str">
        <f t="shared" si="80"/>
        <v/>
      </c>
      <c r="Q306" s="324" t="str">
        <f t="shared" si="77"/>
        <v>4.4.2  Hohlblöcke (Hbl) - NM - rho 800  [0,41] (Gruppe 2)</v>
      </c>
      <c r="R306" s="338">
        <f t="shared" si="78"/>
        <v>0.41</v>
      </c>
      <c r="S306" s="1119" t="str">
        <f t="shared" si="87"/>
        <v>4.4.2  Hohlblöcke (Hbl) - NM</v>
      </c>
      <c r="T306" s="339" t="str">
        <f t="shared" si="85"/>
        <v xml:space="preserve">- rho 800 </v>
      </c>
      <c r="U306" s="339" t="str">
        <f t="shared" si="79"/>
        <v>[0,41]</v>
      </c>
      <c r="V306" s="1118" t="s">
        <v>1701</v>
      </c>
    </row>
    <row r="307" spans="2:22" hidden="1">
      <c r="D307" s="228" t="str">
        <f t="shared" si="90"/>
        <v>4.4.2  Hohlblöcke (Hbl), Gruppe 2 - NM</v>
      </c>
      <c r="F307" s="213" t="s">
        <v>1355</v>
      </c>
      <c r="G307" s="213">
        <v>0.46</v>
      </c>
      <c r="H307" s="228" t="str">
        <f t="shared" si="89"/>
        <v xml:space="preserve">5/10 </v>
      </c>
      <c r="K307" s="1073"/>
      <c r="O307" s="324" t="str">
        <f t="shared" si="76"/>
        <v/>
      </c>
      <c r="P307" s="324" t="str">
        <f t="shared" si="80"/>
        <v/>
      </c>
      <c r="Q307" s="324" t="str">
        <f t="shared" si="77"/>
        <v>4.4.2  Hohlblöcke (Hbl) - NM - rho 900  [0,46] (Gruppe 2)</v>
      </c>
      <c r="R307" s="338">
        <f t="shared" si="78"/>
        <v>0.46</v>
      </c>
      <c r="S307" s="1119" t="str">
        <f t="shared" si="87"/>
        <v>4.4.2  Hohlblöcke (Hbl) - NM</v>
      </c>
      <c r="T307" s="339" t="str">
        <f t="shared" si="85"/>
        <v xml:space="preserve">- rho 900 </v>
      </c>
      <c r="U307" s="339" t="str">
        <f t="shared" si="79"/>
        <v>[0,46]</v>
      </c>
      <c r="V307" s="1118" t="s">
        <v>1701</v>
      </c>
    </row>
    <row r="308" spans="2:22" hidden="1">
      <c r="D308" s="228" t="str">
        <f t="shared" si="90"/>
        <v>4.4.2  Hohlblöcke (Hbl), Gruppe 2 - NM</v>
      </c>
      <c r="F308" s="213" t="s">
        <v>1376</v>
      </c>
      <c r="G308" s="521" t="s">
        <v>1728</v>
      </c>
      <c r="H308" s="228" t="str">
        <f t="shared" si="89"/>
        <v xml:space="preserve">5/10 </v>
      </c>
      <c r="K308" s="1073"/>
      <c r="O308" s="324" t="str">
        <f t="shared" si="76"/>
        <v/>
      </c>
      <c r="P308" s="324" t="str">
        <f t="shared" si="80"/>
        <v/>
      </c>
      <c r="Q308" s="324" t="str">
        <f t="shared" si="77"/>
        <v>4.4.2  Hohlblöcke (Hbl) - NM - rho 1000  [≤0,50] (Gruppe 2)</v>
      </c>
      <c r="R308" s="338" t="str">
        <f t="shared" si="78"/>
        <v>≤0,50</v>
      </c>
      <c r="S308" s="1119" t="str">
        <f t="shared" si="87"/>
        <v>4.4.2  Hohlblöcke (Hbl) - NM</v>
      </c>
      <c r="T308" s="339" t="str">
        <f t="shared" si="85"/>
        <v xml:space="preserve">- rho 1000 </v>
      </c>
      <c r="U308" s="339" t="str">
        <f t="shared" si="79"/>
        <v>[≤0,50]</v>
      </c>
      <c r="V308" s="1118" t="s">
        <v>1701</v>
      </c>
    </row>
    <row r="309" spans="2:22" hidden="1">
      <c r="D309" s="228" t="str">
        <f t="shared" si="90"/>
        <v>4.4.2  Hohlblöcke (Hbl), Gruppe 2 - NM</v>
      </c>
      <c r="F309" s="213" t="s">
        <v>1377</v>
      </c>
      <c r="G309" s="521" t="s">
        <v>1729</v>
      </c>
      <c r="H309" s="228" t="str">
        <f t="shared" si="89"/>
        <v xml:space="preserve">5/10 </v>
      </c>
      <c r="K309" s="1073"/>
      <c r="O309" s="324" t="str">
        <f t="shared" si="76"/>
        <v/>
      </c>
      <c r="P309" s="324" t="str">
        <f t="shared" si="80"/>
        <v/>
      </c>
      <c r="Q309" s="324" t="str">
        <f t="shared" si="77"/>
        <v>4.4.2  Hohlblöcke (Hbl) - NM - rho 1200  [≤0,56] (Gruppe 2)</v>
      </c>
      <c r="R309" s="338" t="str">
        <f t="shared" si="78"/>
        <v>≤0,56</v>
      </c>
      <c r="S309" s="1119" t="str">
        <f t="shared" si="87"/>
        <v>4.4.2  Hohlblöcke (Hbl) - NM</v>
      </c>
      <c r="T309" s="339" t="str">
        <f t="shared" si="85"/>
        <v xml:space="preserve">- rho 1200 </v>
      </c>
      <c r="U309" s="339" t="str">
        <f t="shared" si="79"/>
        <v>[≤0,56]</v>
      </c>
      <c r="V309" s="1118" t="s">
        <v>1701</v>
      </c>
    </row>
    <row r="310" spans="2:22" hidden="1">
      <c r="D310" s="228" t="str">
        <f t="shared" si="90"/>
        <v>4.4.2  Hohlblöcke (Hbl), Gruppe 2 - NM</v>
      </c>
      <c r="F310" s="213" t="s">
        <v>1378</v>
      </c>
      <c r="G310" s="521" t="s">
        <v>1730</v>
      </c>
      <c r="H310" s="228" t="str">
        <f t="shared" si="89"/>
        <v xml:space="preserve">5/10 </v>
      </c>
      <c r="K310" s="1073"/>
      <c r="O310" s="324" t="str">
        <f t="shared" si="76"/>
        <v/>
      </c>
      <c r="P310" s="324" t="str">
        <f t="shared" si="80"/>
        <v/>
      </c>
      <c r="Q310" s="324" t="str">
        <f t="shared" si="77"/>
        <v>4.4.2  Hohlblöcke (Hbl) - NM - rho 1400  [≤0,70] (Gruppe 2)</v>
      </c>
      <c r="R310" s="338" t="str">
        <f t="shared" si="78"/>
        <v>≤0,70</v>
      </c>
      <c r="S310" s="1119" t="str">
        <f t="shared" si="87"/>
        <v>4.4.2  Hohlblöcke (Hbl) - NM</v>
      </c>
      <c r="T310" s="339" t="str">
        <f t="shared" si="85"/>
        <v xml:space="preserve">- rho 1400 </v>
      </c>
      <c r="U310" s="339" t="str">
        <f t="shared" si="79"/>
        <v>[≤0,70]</v>
      </c>
      <c r="V310" s="1118" t="s">
        <v>1701</v>
      </c>
    </row>
    <row r="311" spans="2:22" hidden="1">
      <c r="D311" s="228" t="str">
        <f t="shared" si="90"/>
        <v>4.4.2  Hohlblöcke (Hbl), Gruppe 2 - NM</v>
      </c>
      <c r="F311" s="213" t="s">
        <v>1379</v>
      </c>
      <c r="G311" s="213">
        <v>0.76</v>
      </c>
      <c r="H311" s="228" t="str">
        <f t="shared" si="89"/>
        <v xml:space="preserve">5/10 </v>
      </c>
      <c r="K311" s="1073"/>
      <c r="O311" s="324" t="str">
        <f t="shared" ref="O311:O374" si="91">IF(A311&gt;0,A311,"")</f>
        <v/>
      </c>
      <c r="P311" s="324" t="str">
        <f t="shared" si="80"/>
        <v/>
      </c>
      <c r="Q311" s="324" t="str">
        <f t="shared" ref="Q311:Q374" si="92">IF(S311&gt;0,S311,"")&amp;IF(T311&lt;&gt;""," "&amp;T311,"")&amp;IF(U311&lt;&gt;""," "&amp;U311,"")&amp;IF(V311&lt;&gt;""," "&amp;V311,"")</f>
        <v>4.4.2  Hohlblöcke (Hbl) - NM - rho 1600  [0,76] (Gruppe 2)</v>
      </c>
      <c r="R311" s="338">
        <f t="shared" ref="R311:R374" si="93">G311</f>
        <v>0.76</v>
      </c>
      <c r="S311" s="1119" t="str">
        <f t="shared" si="87"/>
        <v>4.4.2  Hohlblöcke (Hbl) - NM</v>
      </c>
      <c r="T311" s="339" t="str">
        <f t="shared" si="85"/>
        <v xml:space="preserve">- rho 1600 </v>
      </c>
      <c r="U311" s="339" t="str">
        <f t="shared" ref="U311:U374" si="94">IF(G311&gt;0,"["&amp;G311&amp;"]","")</f>
        <v>[0,76]</v>
      </c>
      <c r="V311" s="1118" t="s">
        <v>1701</v>
      </c>
    </row>
    <row r="312" spans="2:22" hidden="1">
      <c r="B312" s="213" t="s">
        <v>3317</v>
      </c>
      <c r="D312" s="213" t="s">
        <v>3318</v>
      </c>
      <c r="F312" s="213" t="s">
        <v>1366</v>
      </c>
      <c r="G312" s="213">
        <v>0.14000000000000001</v>
      </c>
      <c r="H312" s="213" t="s">
        <v>1365</v>
      </c>
      <c r="I312" s="213" t="s">
        <v>1417</v>
      </c>
      <c r="K312" s="1073"/>
      <c r="O312" s="324" t="str">
        <f t="shared" si="91"/>
        <v/>
      </c>
      <c r="P312" s="324" t="str">
        <f t="shared" ref="P312:P375" si="95">IF(ISERROR(VALUE((LEFT(B312,1))))=FALSE,B312,"")</f>
        <v>4.4.3  Betonsteine Vbl</v>
      </c>
      <c r="Q312" s="324" t="str">
        <f t="shared" si="92"/>
        <v>4.4.3  Vollblöcke (Vbl, S-W) - LM21/DM - rho 450  [0,14]</v>
      </c>
      <c r="R312" s="338">
        <f t="shared" si="93"/>
        <v>0.14000000000000001</v>
      </c>
      <c r="S312" s="339" t="str">
        <f t="shared" ref="S312:S338" si="96">D312</f>
        <v>4.4.3  Vollblöcke (Vbl, S-W) - LM21/DM</v>
      </c>
      <c r="T312" s="339" t="str">
        <f t="shared" si="85"/>
        <v xml:space="preserve">- rho 450 </v>
      </c>
      <c r="U312" s="339" t="str">
        <f t="shared" si="94"/>
        <v>[0,14]</v>
      </c>
    </row>
    <row r="313" spans="2:22" ht="12" hidden="1" customHeight="1">
      <c r="B313" s="1271" t="s">
        <v>1419</v>
      </c>
      <c r="C313" s="1271"/>
      <c r="D313" s="228" t="str">
        <f t="shared" si="90"/>
        <v>4.4.3  Vollblöcke (Vbl, S-W) - LM21/DM</v>
      </c>
      <c r="F313" s="213" t="s">
        <v>1367</v>
      </c>
      <c r="G313" s="213">
        <v>0.15</v>
      </c>
      <c r="H313" s="228" t="str">
        <f t="shared" ref="H313:H320" si="97">H312</f>
        <v xml:space="preserve">5/10 </v>
      </c>
      <c r="K313" s="1073"/>
      <c r="O313" s="324" t="str">
        <f t="shared" si="91"/>
        <v/>
      </c>
      <c r="P313" s="324" t="str">
        <f t="shared" si="95"/>
        <v/>
      </c>
      <c r="Q313" s="324" t="str">
        <f t="shared" si="92"/>
        <v>4.4.3  Vollblöcke (Vbl, S-W) - LM21/DM - rho 500  [0,15]</v>
      </c>
      <c r="R313" s="338">
        <f t="shared" si="93"/>
        <v>0.15</v>
      </c>
      <c r="S313" s="339" t="str">
        <f t="shared" si="96"/>
        <v>4.4.3  Vollblöcke (Vbl, S-W) - LM21/DM</v>
      </c>
      <c r="T313" s="339" t="str">
        <f t="shared" si="85"/>
        <v xml:space="preserve">- rho 500 </v>
      </c>
      <c r="U313" s="339" t="str">
        <f t="shared" si="94"/>
        <v>[0,15]</v>
      </c>
    </row>
    <row r="314" spans="2:22" hidden="1">
      <c r="B314" s="1271"/>
      <c r="C314" s="1271"/>
      <c r="D314" s="228" t="str">
        <f t="shared" si="90"/>
        <v>4.4.3  Vollblöcke (Vbl, S-W) - LM21/DM</v>
      </c>
      <c r="F314" s="213" t="s">
        <v>1368</v>
      </c>
      <c r="G314" s="213">
        <v>0.16</v>
      </c>
      <c r="H314" s="228" t="str">
        <f t="shared" si="97"/>
        <v xml:space="preserve">5/10 </v>
      </c>
      <c r="K314" s="1073"/>
      <c r="O314" s="324" t="str">
        <f t="shared" si="91"/>
        <v/>
      </c>
      <c r="P314" s="324" t="str">
        <f t="shared" si="95"/>
        <v/>
      </c>
      <c r="Q314" s="324" t="str">
        <f t="shared" si="92"/>
        <v>4.4.3  Vollblöcke (Vbl, S-W) - LM21/DM - rho 550  [0,16]</v>
      </c>
      <c r="R314" s="338">
        <f t="shared" si="93"/>
        <v>0.16</v>
      </c>
      <c r="S314" s="339" t="str">
        <f t="shared" si="96"/>
        <v>4.4.3  Vollblöcke (Vbl, S-W) - LM21/DM</v>
      </c>
      <c r="T314" s="339" t="str">
        <f t="shared" si="85"/>
        <v xml:space="preserve">- rho 550 </v>
      </c>
      <c r="U314" s="339" t="str">
        <f t="shared" si="94"/>
        <v>[0,16]</v>
      </c>
    </row>
    <row r="315" spans="2:22" hidden="1">
      <c r="B315" s="1271"/>
      <c r="C315" s="1271"/>
      <c r="D315" s="228" t="str">
        <f t="shared" si="90"/>
        <v>4.4.3  Vollblöcke (Vbl, S-W) - LM21/DM</v>
      </c>
      <c r="F315" s="213" t="s">
        <v>1369</v>
      </c>
      <c r="G315" s="213">
        <v>0.17</v>
      </c>
      <c r="H315" s="228" t="str">
        <f t="shared" si="97"/>
        <v xml:space="preserve">5/10 </v>
      </c>
      <c r="K315" s="1073"/>
      <c r="O315" s="324" t="str">
        <f t="shared" si="91"/>
        <v/>
      </c>
      <c r="P315" s="324" t="str">
        <f t="shared" si="95"/>
        <v/>
      </c>
      <c r="Q315" s="324" t="str">
        <f t="shared" si="92"/>
        <v>4.4.3  Vollblöcke (Vbl, S-W) - LM21/DM - rho 600  [0,17]</v>
      </c>
      <c r="R315" s="338">
        <f t="shared" si="93"/>
        <v>0.17</v>
      </c>
      <c r="S315" s="339" t="str">
        <f t="shared" si="96"/>
        <v>4.4.3  Vollblöcke (Vbl, S-W) - LM21/DM</v>
      </c>
      <c r="T315" s="339" t="str">
        <f t="shared" si="85"/>
        <v xml:space="preserve">- rho 600 </v>
      </c>
      <c r="U315" s="339" t="str">
        <f t="shared" si="94"/>
        <v>[0,17]</v>
      </c>
    </row>
    <row r="316" spans="2:22" hidden="1">
      <c r="D316" s="228" t="str">
        <f t="shared" si="90"/>
        <v>4.4.3  Vollblöcke (Vbl, S-W) - LM21/DM</v>
      </c>
      <c r="F316" s="213" t="s">
        <v>1370</v>
      </c>
      <c r="G316" s="213">
        <v>0.18</v>
      </c>
      <c r="H316" s="228" t="str">
        <f t="shared" si="97"/>
        <v xml:space="preserve">5/10 </v>
      </c>
      <c r="K316" s="1073"/>
      <c r="O316" s="324" t="str">
        <f t="shared" si="91"/>
        <v/>
      </c>
      <c r="P316" s="324" t="str">
        <f t="shared" si="95"/>
        <v/>
      </c>
      <c r="Q316" s="324" t="str">
        <f t="shared" si="92"/>
        <v>4.4.3  Vollblöcke (Vbl, S-W) - LM21/DM - rho 650  [0,18]</v>
      </c>
      <c r="R316" s="338">
        <f t="shared" si="93"/>
        <v>0.18</v>
      </c>
      <c r="S316" s="339" t="str">
        <f t="shared" si="96"/>
        <v>4.4.3  Vollblöcke (Vbl, S-W) - LM21/DM</v>
      </c>
      <c r="T316" s="339" t="str">
        <f t="shared" si="85"/>
        <v xml:space="preserve">- rho 650 </v>
      </c>
      <c r="U316" s="339" t="str">
        <f t="shared" si="94"/>
        <v>[0,18]</v>
      </c>
    </row>
    <row r="317" spans="2:22" hidden="1">
      <c r="D317" s="228" t="str">
        <f t="shared" si="90"/>
        <v>4.4.3  Vollblöcke (Vbl, S-W) - LM21/DM</v>
      </c>
      <c r="F317" s="213" t="s">
        <v>1199</v>
      </c>
      <c r="G317" s="213">
        <v>0.19</v>
      </c>
      <c r="H317" s="228" t="str">
        <f t="shared" si="97"/>
        <v xml:space="preserve">5/10 </v>
      </c>
      <c r="K317" s="1073"/>
      <c r="O317" s="324" t="str">
        <f t="shared" si="91"/>
        <v/>
      </c>
      <c r="P317" s="324" t="str">
        <f t="shared" si="95"/>
        <v/>
      </c>
      <c r="Q317" s="324" t="str">
        <f t="shared" si="92"/>
        <v>4.4.3  Vollblöcke (Vbl, S-W) - LM21/DM - rho 700  [0,19]</v>
      </c>
      <c r="R317" s="338">
        <f t="shared" si="93"/>
        <v>0.19</v>
      </c>
      <c r="S317" s="339" t="str">
        <f t="shared" si="96"/>
        <v>4.4.3  Vollblöcke (Vbl, S-W) - LM21/DM</v>
      </c>
      <c r="T317" s="339" t="str">
        <f t="shared" si="85"/>
        <v xml:space="preserve">- rho 700 </v>
      </c>
      <c r="U317" s="339" t="str">
        <f t="shared" si="94"/>
        <v>[0,19]</v>
      </c>
    </row>
    <row r="318" spans="2:22" hidden="1">
      <c r="D318" s="228" t="str">
        <f t="shared" si="90"/>
        <v>4.4.3  Vollblöcke (Vbl, S-W) - LM21/DM</v>
      </c>
      <c r="F318" s="213" t="s">
        <v>1353</v>
      </c>
      <c r="G318" s="213">
        <v>0.21</v>
      </c>
      <c r="H318" s="228" t="str">
        <f t="shared" si="97"/>
        <v xml:space="preserve">5/10 </v>
      </c>
      <c r="K318" s="1073"/>
      <c r="O318" s="324" t="str">
        <f t="shared" si="91"/>
        <v/>
      </c>
      <c r="P318" s="324" t="str">
        <f t="shared" si="95"/>
        <v/>
      </c>
      <c r="Q318" s="324" t="str">
        <f t="shared" si="92"/>
        <v>4.4.3  Vollblöcke (Vbl, S-W) - LM21/DM - rho 800  [0,21]</v>
      </c>
      <c r="R318" s="338">
        <f t="shared" si="93"/>
        <v>0.21</v>
      </c>
      <c r="S318" s="339" t="str">
        <f t="shared" si="96"/>
        <v>4.4.3  Vollblöcke (Vbl, S-W) - LM21/DM</v>
      </c>
      <c r="T318" s="339" t="str">
        <f t="shared" si="85"/>
        <v xml:space="preserve">- rho 800 </v>
      </c>
      <c r="U318" s="339" t="str">
        <f t="shared" si="94"/>
        <v>[0,21]</v>
      </c>
    </row>
    <row r="319" spans="2:22" hidden="1">
      <c r="D319" s="228" t="str">
        <f t="shared" si="90"/>
        <v>4.4.3  Vollblöcke (Vbl, S-W) - LM21/DM</v>
      </c>
      <c r="F319" s="213" t="s">
        <v>1355</v>
      </c>
      <c r="G319" s="213">
        <v>0.25</v>
      </c>
      <c r="H319" s="228" t="str">
        <f t="shared" si="97"/>
        <v xml:space="preserve">5/10 </v>
      </c>
      <c r="K319" s="1073"/>
      <c r="O319" s="324" t="str">
        <f t="shared" si="91"/>
        <v/>
      </c>
      <c r="P319" s="324" t="str">
        <f t="shared" si="95"/>
        <v/>
      </c>
      <c r="Q319" s="324" t="str">
        <f t="shared" si="92"/>
        <v>4.4.3  Vollblöcke (Vbl, S-W) - LM21/DM - rho 900  [0,25]</v>
      </c>
      <c r="R319" s="338">
        <f t="shared" si="93"/>
        <v>0.25</v>
      </c>
      <c r="S319" s="339" t="str">
        <f t="shared" si="96"/>
        <v>4.4.3  Vollblöcke (Vbl, S-W) - LM21/DM</v>
      </c>
      <c r="T319" s="339" t="str">
        <f t="shared" si="85"/>
        <v xml:space="preserve">- rho 900 </v>
      </c>
      <c r="U319" s="339" t="str">
        <f t="shared" si="94"/>
        <v>[0,25]</v>
      </c>
    </row>
    <row r="320" spans="2:22" hidden="1">
      <c r="D320" s="228" t="str">
        <f t="shared" si="90"/>
        <v>4.4.3  Vollblöcke (Vbl, S-W) - LM21/DM</v>
      </c>
      <c r="F320" s="213" t="s">
        <v>1376</v>
      </c>
      <c r="G320" s="213">
        <v>0.28000000000000003</v>
      </c>
      <c r="H320" s="228" t="str">
        <f t="shared" si="97"/>
        <v xml:space="preserve">5/10 </v>
      </c>
      <c r="K320" s="1073"/>
      <c r="O320" s="324" t="str">
        <f t="shared" si="91"/>
        <v/>
      </c>
      <c r="P320" s="324" t="str">
        <f t="shared" si="95"/>
        <v/>
      </c>
      <c r="Q320" s="324" t="str">
        <f t="shared" si="92"/>
        <v>4.4.3  Vollblöcke (Vbl, S-W) - LM21/DM - rho 1000  [0,28]</v>
      </c>
      <c r="R320" s="338">
        <f t="shared" si="93"/>
        <v>0.28000000000000003</v>
      </c>
      <c r="S320" s="339" t="str">
        <f t="shared" si="96"/>
        <v>4.4.3  Vollblöcke (Vbl, S-W) - LM21/DM</v>
      </c>
      <c r="T320" s="339" t="str">
        <f t="shared" si="85"/>
        <v xml:space="preserve">- rho 1000 </v>
      </c>
      <c r="U320" s="339" t="str">
        <f t="shared" si="94"/>
        <v>[0,28]</v>
      </c>
    </row>
    <row r="321" spans="4:21" hidden="1">
      <c r="D321" s="213" t="s">
        <v>3319</v>
      </c>
      <c r="F321" s="213" t="s">
        <v>1366</v>
      </c>
      <c r="G321" s="213">
        <v>0.16</v>
      </c>
      <c r="H321" s="213" t="s">
        <v>1365</v>
      </c>
      <c r="I321" s="213" t="s">
        <v>1417</v>
      </c>
      <c r="K321" s="1073"/>
      <c r="O321" s="324" t="str">
        <f t="shared" si="91"/>
        <v/>
      </c>
      <c r="P321" s="324" t="str">
        <f t="shared" si="95"/>
        <v/>
      </c>
      <c r="Q321" s="324" t="str">
        <f t="shared" si="92"/>
        <v>4.4.3  Vollblöcke (Vbl, S-W) - LM36 - rho 450  [0,16]</v>
      </c>
      <c r="R321" s="338">
        <f t="shared" si="93"/>
        <v>0.16</v>
      </c>
      <c r="S321" s="339" t="str">
        <f t="shared" si="96"/>
        <v>4.4.3  Vollblöcke (Vbl, S-W) - LM36</v>
      </c>
      <c r="T321" s="339" t="str">
        <f t="shared" si="85"/>
        <v xml:space="preserve">- rho 450 </v>
      </c>
      <c r="U321" s="339" t="str">
        <f t="shared" si="94"/>
        <v>[0,16]</v>
      </c>
    </row>
    <row r="322" spans="4:21" hidden="1">
      <c r="D322" s="228" t="str">
        <f t="shared" si="90"/>
        <v>4.4.3  Vollblöcke (Vbl, S-W) - LM36</v>
      </c>
      <c r="F322" s="213" t="s">
        <v>1367</v>
      </c>
      <c r="G322" s="213">
        <v>0.17</v>
      </c>
      <c r="H322" s="228" t="str">
        <f t="shared" ref="H322:H329" si="98">H321</f>
        <v xml:space="preserve">5/10 </v>
      </c>
      <c r="K322" s="1073"/>
      <c r="O322" s="324" t="str">
        <f t="shared" si="91"/>
        <v/>
      </c>
      <c r="P322" s="324" t="str">
        <f t="shared" si="95"/>
        <v/>
      </c>
      <c r="Q322" s="324" t="str">
        <f t="shared" si="92"/>
        <v>4.4.3  Vollblöcke (Vbl, S-W) - LM36 - rho 500  [0,17]</v>
      </c>
      <c r="R322" s="338">
        <f t="shared" si="93"/>
        <v>0.17</v>
      </c>
      <c r="S322" s="339" t="str">
        <f t="shared" si="96"/>
        <v>4.4.3  Vollblöcke (Vbl, S-W) - LM36</v>
      </c>
      <c r="T322" s="339" t="str">
        <f t="shared" si="85"/>
        <v xml:space="preserve">- rho 500 </v>
      </c>
      <c r="U322" s="339" t="str">
        <f t="shared" si="94"/>
        <v>[0,17]</v>
      </c>
    </row>
    <row r="323" spans="4:21" hidden="1">
      <c r="D323" s="228" t="str">
        <f t="shared" si="90"/>
        <v>4.4.3  Vollblöcke (Vbl, S-W) - LM36</v>
      </c>
      <c r="F323" s="213" t="s">
        <v>1368</v>
      </c>
      <c r="G323" s="213">
        <v>0.18</v>
      </c>
      <c r="H323" s="228" t="str">
        <f t="shared" si="98"/>
        <v xml:space="preserve">5/10 </v>
      </c>
      <c r="K323" s="1073"/>
      <c r="O323" s="324" t="str">
        <f t="shared" si="91"/>
        <v/>
      </c>
      <c r="P323" s="324" t="str">
        <f t="shared" si="95"/>
        <v/>
      </c>
      <c r="Q323" s="324" t="str">
        <f t="shared" si="92"/>
        <v>4.4.3  Vollblöcke (Vbl, S-W) - LM36 - rho 550  [0,18]</v>
      </c>
      <c r="R323" s="338">
        <f t="shared" si="93"/>
        <v>0.18</v>
      </c>
      <c r="S323" s="339" t="str">
        <f t="shared" si="96"/>
        <v>4.4.3  Vollblöcke (Vbl, S-W) - LM36</v>
      </c>
      <c r="T323" s="339" t="str">
        <f t="shared" si="85"/>
        <v xml:space="preserve">- rho 550 </v>
      </c>
      <c r="U323" s="339" t="str">
        <f t="shared" si="94"/>
        <v>[0,18]</v>
      </c>
    </row>
    <row r="324" spans="4:21" hidden="1">
      <c r="D324" s="228" t="str">
        <f t="shared" si="90"/>
        <v>4.4.3  Vollblöcke (Vbl, S-W) - LM36</v>
      </c>
      <c r="F324" s="213" t="s">
        <v>1369</v>
      </c>
      <c r="G324" s="213">
        <v>0.19</v>
      </c>
      <c r="H324" s="228" t="str">
        <f t="shared" si="98"/>
        <v xml:space="preserve">5/10 </v>
      </c>
      <c r="K324" s="1073"/>
      <c r="O324" s="324" t="str">
        <f t="shared" si="91"/>
        <v/>
      </c>
      <c r="P324" s="324" t="str">
        <f t="shared" si="95"/>
        <v/>
      </c>
      <c r="Q324" s="324" t="str">
        <f t="shared" si="92"/>
        <v>4.4.3  Vollblöcke (Vbl, S-W) - LM36 - rho 600  [0,19]</v>
      </c>
      <c r="R324" s="338">
        <f t="shared" si="93"/>
        <v>0.19</v>
      </c>
      <c r="S324" s="339" t="str">
        <f t="shared" si="96"/>
        <v>4.4.3  Vollblöcke (Vbl, S-W) - LM36</v>
      </c>
      <c r="T324" s="339" t="str">
        <f t="shared" si="85"/>
        <v xml:space="preserve">- rho 600 </v>
      </c>
      <c r="U324" s="339" t="str">
        <f t="shared" si="94"/>
        <v>[0,19]</v>
      </c>
    </row>
    <row r="325" spans="4:21" hidden="1">
      <c r="D325" s="228" t="str">
        <f t="shared" si="90"/>
        <v>4.4.3  Vollblöcke (Vbl, S-W) - LM36</v>
      </c>
      <c r="F325" s="213" t="s">
        <v>1370</v>
      </c>
      <c r="G325" s="213">
        <v>0.2</v>
      </c>
      <c r="H325" s="228" t="str">
        <f t="shared" si="98"/>
        <v xml:space="preserve">5/10 </v>
      </c>
      <c r="K325" s="1073"/>
      <c r="O325" s="324" t="str">
        <f t="shared" si="91"/>
        <v/>
      </c>
      <c r="P325" s="324" t="str">
        <f t="shared" si="95"/>
        <v/>
      </c>
      <c r="Q325" s="324" t="str">
        <f t="shared" si="92"/>
        <v>4.4.3  Vollblöcke (Vbl, S-W) - LM36 - rho 650  [0,2]</v>
      </c>
      <c r="R325" s="338">
        <f t="shared" si="93"/>
        <v>0.2</v>
      </c>
      <c r="S325" s="339" t="str">
        <f t="shared" si="96"/>
        <v>4.4.3  Vollblöcke (Vbl, S-W) - LM36</v>
      </c>
      <c r="T325" s="339" t="str">
        <f t="shared" si="85"/>
        <v xml:space="preserve">- rho 650 </v>
      </c>
      <c r="U325" s="339" t="str">
        <f t="shared" si="94"/>
        <v>[0,2]</v>
      </c>
    </row>
    <row r="326" spans="4:21" hidden="1">
      <c r="D326" s="228" t="str">
        <f t="shared" si="90"/>
        <v>4.4.3  Vollblöcke (Vbl, S-W) - LM36</v>
      </c>
      <c r="F326" s="213" t="s">
        <v>1199</v>
      </c>
      <c r="G326" s="213">
        <v>0.21</v>
      </c>
      <c r="H326" s="228" t="str">
        <f t="shared" si="98"/>
        <v xml:space="preserve">5/10 </v>
      </c>
      <c r="K326" s="1073"/>
      <c r="O326" s="324" t="str">
        <f t="shared" si="91"/>
        <v/>
      </c>
      <c r="P326" s="324" t="str">
        <f t="shared" si="95"/>
        <v/>
      </c>
      <c r="Q326" s="324" t="str">
        <f t="shared" si="92"/>
        <v>4.4.3  Vollblöcke (Vbl, S-W) - LM36 - rho 700  [0,21]</v>
      </c>
      <c r="R326" s="338">
        <f t="shared" si="93"/>
        <v>0.21</v>
      </c>
      <c r="S326" s="339" t="str">
        <f t="shared" si="96"/>
        <v>4.4.3  Vollblöcke (Vbl, S-W) - LM36</v>
      </c>
      <c r="T326" s="339" t="str">
        <f t="shared" si="85"/>
        <v xml:space="preserve">- rho 700 </v>
      </c>
      <c r="U326" s="339" t="str">
        <f t="shared" si="94"/>
        <v>[0,21]</v>
      </c>
    </row>
    <row r="327" spans="4:21" hidden="1">
      <c r="D327" s="228" t="str">
        <f t="shared" si="90"/>
        <v>4.4.3  Vollblöcke (Vbl, S-W) - LM36</v>
      </c>
      <c r="F327" s="213" t="s">
        <v>1353</v>
      </c>
      <c r="G327" s="213">
        <v>0.23</v>
      </c>
      <c r="H327" s="228" t="str">
        <f t="shared" si="98"/>
        <v xml:space="preserve">5/10 </v>
      </c>
      <c r="K327" s="1073"/>
      <c r="O327" s="324" t="str">
        <f t="shared" si="91"/>
        <v/>
      </c>
      <c r="P327" s="324" t="str">
        <f t="shared" si="95"/>
        <v/>
      </c>
      <c r="Q327" s="324" t="str">
        <f t="shared" si="92"/>
        <v>4.4.3  Vollblöcke (Vbl, S-W) - LM36 - rho 800  [0,23]</v>
      </c>
      <c r="R327" s="338">
        <f t="shared" si="93"/>
        <v>0.23</v>
      </c>
      <c r="S327" s="339" t="str">
        <f t="shared" si="96"/>
        <v>4.4.3  Vollblöcke (Vbl, S-W) - LM36</v>
      </c>
      <c r="T327" s="339" t="str">
        <f t="shared" si="85"/>
        <v xml:space="preserve">- rho 800 </v>
      </c>
      <c r="U327" s="339" t="str">
        <f t="shared" si="94"/>
        <v>[0,23]</v>
      </c>
    </row>
    <row r="328" spans="4:21" hidden="1">
      <c r="D328" s="228" t="str">
        <f t="shared" si="90"/>
        <v>4.4.3  Vollblöcke (Vbl, S-W) - LM36</v>
      </c>
      <c r="F328" s="213" t="s">
        <v>1355</v>
      </c>
      <c r="G328" s="213">
        <v>0.26</v>
      </c>
      <c r="H328" s="228" t="str">
        <f t="shared" si="98"/>
        <v xml:space="preserve">5/10 </v>
      </c>
      <c r="K328" s="1073"/>
      <c r="O328" s="324" t="str">
        <f t="shared" si="91"/>
        <v/>
      </c>
      <c r="P328" s="324" t="str">
        <f t="shared" si="95"/>
        <v/>
      </c>
      <c r="Q328" s="324" t="str">
        <f t="shared" si="92"/>
        <v>4.4.3  Vollblöcke (Vbl, S-W) - LM36 - rho 900  [0,26]</v>
      </c>
      <c r="R328" s="338">
        <f t="shared" si="93"/>
        <v>0.26</v>
      </c>
      <c r="S328" s="339" t="str">
        <f t="shared" si="96"/>
        <v>4.4.3  Vollblöcke (Vbl, S-W) - LM36</v>
      </c>
      <c r="T328" s="339" t="str">
        <f t="shared" si="85"/>
        <v xml:space="preserve">- rho 900 </v>
      </c>
      <c r="U328" s="339" t="str">
        <f t="shared" si="94"/>
        <v>[0,26]</v>
      </c>
    </row>
    <row r="329" spans="4:21" hidden="1">
      <c r="D329" s="228" t="str">
        <f t="shared" si="90"/>
        <v>4.4.3  Vollblöcke (Vbl, S-W) - LM36</v>
      </c>
      <c r="F329" s="213" t="s">
        <v>1376</v>
      </c>
      <c r="G329" s="213">
        <v>0.28999999999999998</v>
      </c>
      <c r="H329" s="228" t="str">
        <f t="shared" si="98"/>
        <v xml:space="preserve">5/10 </v>
      </c>
      <c r="K329" s="1073"/>
      <c r="O329" s="324" t="str">
        <f t="shared" si="91"/>
        <v/>
      </c>
      <c r="P329" s="324" t="str">
        <f t="shared" si="95"/>
        <v/>
      </c>
      <c r="Q329" s="324" t="str">
        <f t="shared" si="92"/>
        <v>4.4.3  Vollblöcke (Vbl, S-W) - LM36 - rho 1000  [0,29]</v>
      </c>
      <c r="R329" s="338">
        <f t="shared" si="93"/>
        <v>0.28999999999999998</v>
      </c>
      <c r="S329" s="339" t="str">
        <f t="shared" si="96"/>
        <v>4.4.3  Vollblöcke (Vbl, S-W) - LM36</v>
      </c>
      <c r="T329" s="339" t="str">
        <f t="shared" si="85"/>
        <v xml:space="preserve">- rho 1000 </v>
      </c>
      <c r="U329" s="339" t="str">
        <f t="shared" si="94"/>
        <v>[0,29]</v>
      </c>
    </row>
    <row r="330" spans="4:21" hidden="1">
      <c r="D330" s="213" t="s">
        <v>3320</v>
      </c>
      <c r="F330" s="213" t="s">
        <v>1366</v>
      </c>
      <c r="G330" s="213">
        <v>0.18</v>
      </c>
      <c r="H330" s="213" t="s">
        <v>1365</v>
      </c>
      <c r="I330" s="213" t="s">
        <v>1176</v>
      </c>
      <c r="K330" s="1073"/>
      <c r="O330" s="324" t="str">
        <f t="shared" si="91"/>
        <v/>
      </c>
      <c r="P330" s="324" t="str">
        <f t="shared" si="95"/>
        <v/>
      </c>
      <c r="Q330" s="324" t="str">
        <f t="shared" si="92"/>
        <v>4.4.3  Vollblöcke (Vbl, S-W) - NM - rho 450  [0,18]</v>
      </c>
      <c r="R330" s="338">
        <f t="shared" si="93"/>
        <v>0.18</v>
      </c>
      <c r="S330" s="339" t="str">
        <f t="shared" si="96"/>
        <v>4.4.3  Vollblöcke (Vbl, S-W) - NM</v>
      </c>
      <c r="T330" s="339" t="str">
        <f t="shared" si="85"/>
        <v xml:space="preserve">- rho 450 </v>
      </c>
      <c r="U330" s="339" t="str">
        <f t="shared" si="94"/>
        <v>[0,18]</v>
      </c>
    </row>
    <row r="331" spans="4:21" hidden="1">
      <c r="D331" s="228" t="str">
        <f t="shared" si="90"/>
        <v>4.4.3  Vollblöcke (Vbl, S-W) - NM</v>
      </c>
      <c r="F331" s="213" t="s">
        <v>1367</v>
      </c>
      <c r="G331" s="213">
        <v>0.2</v>
      </c>
      <c r="H331" s="228" t="str">
        <f t="shared" ref="H331:H338" si="99">H330</f>
        <v xml:space="preserve">5/10 </v>
      </c>
      <c r="K331" s="1073"/>
      <c r="O331" s="324" t="str">
        <f t="shared" si="91"/>
        <v/>
      </c>
      <c r="P331" s="324" t="str">
        <f t="shared" si="95"/>
        <v/>
      </c>
      <c r="Q331" s="324" t="str">
        <f t="shared" si="92"/>
        <v>4.4.3  Vollblöcke (Vbl, S-W) - NM - rho 500  [0,2]</v>
      </c>
      <c r="R331" s="338">
        <f t="shared" si="93"/>
        <v>0.2</v>
      </c>
      <c r="S331" s="339" t="str">
        <f t="shared" si="96"/>
        <v>4.4.3  Vollblöcke (Vbl, S-W) - NM</v>
      </c>
      <c r="T331" s="339" t="str">
        <f t="shared" si="85"/>
        <v xml:space="preserve">- rho 500 </v>
      </c>
      <c r="U331" s="339" t="str">
        <f t="shared" si="94"/>
        <v>[0,2]</v>
      </c>
    </row>
    <row r="332" spans="4:21" hidden="1">
      <c r="D332" s="228" t="str">
        <f t="shared" si="90"/>
        <v>4.4.3  Vollblöcke (Vbl, S-W) - NM</v>
      </c>
      <c r="F332" s="213" t="s">
        <v>1368</v>
      </c>
      <c r="G332" s="213">
        <v>0.21</v>
      </c>
      <c r="H332" s="228" t="str">
        <f t="shared" si="99"/>
        <v xml:space="preserve">5/10 </v>
      </c>
      <c r="K332" s="1073"/>
      <c r="O332" s="324" t="str">
        <f t="shared" si="91"/>
        <v/>
      </c>
      <c r="P332" s="324" t="str">
        <f t="shared" si="95"/>
        <v/>
      </c>
      <c r="Q332" s="324" t="str">
        <f t="shared" si="92"/>
        <v>4.4.3  Vollblöcke (Vbl, S-W) - NM - rho 550  [0,21]</v>
      </c>
      <c r="R332" s="338">
        <f t="shared" si="93"/>
        <v>0.21</v>
      </c>
      <c r="S332" s="339" t="str">
        <f t="shared" si="96"/>
        <v>4.4.3  Vollblöcke (Vbl, S-W) - NM</v>
      </c>
      <c r="T332" s="339" t="str">
        <f t="shared" si="85"/>
        <v xml:space="preserve">- rho 550 </v>
      </c>
      <c r="U332" s="339" t="str">
        <f t="shared" si="94"/>
        <v>[0,21]</v>
      </c>
    </row>
    <row r="333" spans="4:21" hidden="1">
      <c r="D333" s="228" t="str">
        <f t="shared" si="90"/>
        <v>4.4.3  Vollblöcke (Vbl, S-W) - NM</v>
      </c>
      <c r="F333" s="213" t="s">
        <v>1369</v>
      </c>
      <c r="G333" s="213">
        <v>0.22</v>
      </c>
      <c r="H333" s="228" t="str">
        <f t="shared" si="99"/>
        <v xml:space="preserve">5/10 </v>
      </c>
      <c r="K333" s="1073"/>
      <c r="O333" s="324" t="str">
        <f t="shared" si="91"/>
        <v/>
      </c>
      <c r="P333" s="324" t="str">
        <f t="shared" si="95"/>
        <v/>
      </c>
      <c r="Q333" s="324" t="str">
        <f t="shared" si="92"/>
        <v>4.4.3  Vollblöcke (Vbl, S-W) - NM - rho 600  [0,22]</v>
      </c>
      <c r="R333" s="338">
        <f t="shared" si="93"/>
        <v>0.22</v>
      </c>
      <c r="S333" s="339" t="str">
        <f t="shared" si="96"/>
        <v>4.4.3  Vollblöcke (Vbl, S-W) - NM</v>
      </c>
      <c r="T333" s="339" t="str">
        <f t="shared" si="85"/>
        <v xml:space="preserve">- rho 600 </v>
      </c>
      <c r="U333" s="339" t="str">
        <f t="shared" si="94"/>
        <v>[0,22]</v>
      </c>
    </row>
    <row r="334" spans="4:21" hidden="1">
      <c r="D334" s="228" t="str">
        <f t="shared" si="90"/>
        <v>4.4.3  Vollblöcke (Vbl, S-W) - NM</v>
      </c>
      <c r="F334" s="213" t="s">
        <v>1370</v>
      </c>
      <c r="G334" s="213">
        <v>0.23</v>
      </c>
      <c r="H334" s="228" t="str">
        <f t="shared" si="99"/>
        <v xml:space="preserve">5/10 </v>
      </c>
      <c r="K334" s="1073"/>
      <c r="O334" s="324" t="str">
        <f t="shared" si="91"/>
        <v/>
      </c>
      <c r="P334" s="324" t="str">
        <f t="shared" si="95"/>
        <v/>
      </c>
      <c r="Q334" s="324" t="str">
        <f t="shared" si="92"/>
        <v>4.4.3  Vollblöcke (Vbl, S-W) - NM - rho 650  [0,23]</v>
      </c>
      <c r="R334" s="338">
        <f t="shared" si="93"/>
        <v>0.23</v>
      </c>
      <c r="S334" s="339" t="str">
        <f t="shared" si="96"/>
        <v>4.4.3  Vollblöcke (Vbl, S-W) - NM</v>
      </c>
      <c r="T334" s="339" t="str">
        <f t="shared" si="85"/>
        <v xml:space="preserve">- rho 650 </v>
      </c>
      <c r="U334" s="339" t="str">
        <f t="shared" si="94"/>
        <v>[0,23]</v>
      </c>
    </row>
    <row r="335" spans="4:21" hidden="1">
      <c r="D335" s="228" t="str">
        <f t="shared" si="90"/>
        <v>4.4.3  Vollblöcke (Vbl, S-W) - NM</v>
      </c>
      <c r="F335" s="213" t="s">
        <v>1199</v>
      </c>
      <c r="G335" s="213">
        <v>0.25</v>
      </c>
      <c r="H335" s="228" t="str">
        <f t="shared" si="99"/>
        <v xml:space="preserve">5/10 </v>
      </c>
      <c r="K335" s="1073"/>
      <c r="O335" s="324" t="str">
        <f t="shared" si="91"/>
        <v/>
      </c>
      <c r="P335" s="324" t="str">
        <f t="shared" si="95"/>
        <v/>
      </c>
      <c r="Q335" s="324" t="str">
        <f t="shared" si="92"/>
        <v>4.4.3  Vollblöcke (Vbl, S-W) - NM - rho 700  [0,25]</v>
      </c>
      <c r="R335" s="338">
        <f t="shared" si="93"/>
        <v>0.25</v>
      </c>
      <c r="S335" s="339" t="str">
        <f t="shared" si="96"/>
        <v>4.4.3  Vollblöcke (Vbl, S-W) - NM</v>
      </c>
      <c r="T335" s="339" t="str">
        <f t="shared" si="85"/>
        <v xml:space="preserve">- rho 700 </v>
      </c>
      <c r="U335" s="339" t="str">
        <f t="shared" si="94"/>
        <v>[0,25]</v>
      </c>
    </row>
    <row r="336" spans="4:21" hidden="1">
      <c r="D336" s="228" t="str">
        <f t="shared" si="90"/>
        <v>4.4.3  Vollblöcke (Vbl, S-W) - NM</v>
      </c>
      <c r="F336" s="213" t="s">
        <v>1353</v>
      </c>
      <c r="G336" s="213">
        <v>0.27</v>
      </c>
      <c r="H336" s="228" t="str">
        <f t="shared" si="99"/>
        <v xml:space="preserve">5/10 </v>
      </c>
      <c r="K336" s="1073"/>
      <c r="O336" s="324" t="str">
        <f t="shared" si="91"/>
        <v/>
      </c>
      <c r="P336" s="324" t="str">
        <f t="shared" si="95"/>
        <v/>
      </c>
      <c r="Q336" s="324" t="str">
        <f t="shared" si="92"/>
        <v>4.4.3  Vollblöcke (Vbl, S-W) - NM - rho 800  [0,27]</v>
      </c>
      <c r="R336" s="338">
        <f t="shared" si="93"/>
        <v>0.27</v>
      </c>
      <c r="S336" s="339" t="str">
        <f t="shared" si="96"/>
        <v>4.4.3  Vollblöcke (Vbl, S-W) - NM</v>
      </c>
      <c r="T336" s="339" t="str">
        <f t="shared" si="85"/>
        <v xml:space="preserve">- rho 800 </v>
      </c>
      <c r="U336" s="339" t="str">
        <f t="shared" si="94"/>
        <v>[0,27]</v>
      </c>
    </row>
    <row r="337" spans="2:22" hidden="1">
      <c r="D337" s="228" t="str">
        <f t="shared" si="90"/>
        <v>4.4.3  Vollblöcke (Vbl, S-W) - NM</v>
      </c>
      <c r="F337" s="213" t="s">
        <v>1355</v>
      </c>
      <c r="G337" s="213">
        <v>0.3</v>
      </c>
      <c r="H337" s="228" t="str">
        <f t="shared" si="99"/>
        <v xml:space="preserve">5/10 </v>
      </c>
      <c r="K337" s="1073"/>
      <c r="O337" s="324" t="str">
        <f t="shared" si="91"/>
        <v/>
      </c>
      <c r="P337" s="324" t="str">
        <f t="shared" si="95"/>
        <v/>
      </c>
      <c r="Q337" s="324" t="str">
        <f t="shared" si="92"/>
        <v>4.4.3  Vollblöcke (Vbl, S-W) - NM - rho 900  [0,3]</v>
      </c>
      <c r="R337" s="338">
        <f t="shared" si="93"/>
        <v>0.3</v>
      </c>
      <c r="S337" s="339" t="str">
        <f t="shared" si="96"/>
        <v>4.4.3  Vollblöcke (Vbl, S-W) - NM</v>
      </c>
      <c r="T337" s="339" t="str">
        <f t="shared" si="85"/>
        <v xml:space="preserve">- rho 900 </v>
      </c>
      <c r="U337" s="339" t="str">
        <f t="shared" si="94"/>
        <v>[0,3]</v>
      </c>
    </row>
    <row r="338" spans="2:22" hidden="1">
      <c r="D338" s="228" t="str">
        <f t="shared" si="90"/>
        <v>4.4.3  Vollblöcke (Vbl, S-W) - NM</v>
      </c>
      <c r="F338" s="213" t="s">
        <v>1376</v>
      </c>
      <c r="G338" s="213">
        <v>0.32</v>
      </c>
      <c r="H338" s="228" t="str">
        <f t="shared" si="99"/>
        <v xml:space="preserve">5/10 </v>
      </c>
      <c r="K338" s="1073"/>
      <c r="O338" s="324" t="str">
        <f t="shared" si="91"/>
        <v/>
      </c>
      <c r="P338" s="324" t="str">
        <f t="shared" si="95"/>
        <v/>
      </c>
      <c r="Q338" s="324" t="str">
        <f t="shared" si="92"/>
        <v>4.4.3  Vollblöcke (Vbl, S-W) - NM - rho 1000  [0,32]</v>
      </c>
      <c r="R338" s="338">
        <f t="shared" si="93"/>
        <v>0.32</v>
      </c>
      <c r="S338" s="339" t="str">
        <f t="shared" si="96"/>
        <v>4.4.3  Vollblöcke (Vbl, S-W) - NM</v>
      </c>
      <c r="T338" s="339" t="str">
        <f t="shared" si="85"/>
        <v xml:space="preserve">- rho 1000 </v>
      </c>
      <c r="U338" s="339" t="str">
        <f t="shared" si="94"/>
        <v>[0,32]</v>
      </c>
    </row>
    <row r="339" spans="2:22" hidden="1">
      <c r="B339" s="213" t="s">
        <v>3323</v>
      </c>
      <c r="D339" s="213" t="s">
        <v>3321</v>
      </c>
      <c r="F339" s="213" t="s">
        <v>1366</v>
      </c>
      <c r="G339" s="213">
        <v>0.22</v>
      </c>
      <c r="H339" s="213" t="s">
        <v>1365</v>
      </c>
      <c r="I339" s="213" t="s">
        <v>1417</v>
      </c>
      <c r="K339" s="1073"/>
      <c r="O339" s="324" t="str">
        <f t="shared" si="91"/>
        <v/>
      </c>
      <c r="P339" s="324" t="str">
        <f t="shared" si="95"/>
        <v>4.4.4  Betonsteine Vbl aus Leichtbeton</v>
      </c>
      <c r="Q339" s="324" t="str">
        <f t="shared" si="92"/>
        <v>4.4.4  Vollblöcke (Vbl) - LM21/DM - rho 450  [0,22] (aus Leichtbeton)</v>
      </c>
      <c r="R339" s="338">
        <f t="shared" si="93"/>
        <v>0.22</v>
      </c>
      <c r="S339" s="1119" t="str">
        <f>SUBSTITUTE(D339,"aus Leichtbeton ","")</f>
        <v>4.4.4  Vollblöcke (Vbl) - LM21/DM</v>
      </c>
      <c r="T339" s="339" t="str">
        <f t="shared" ref="T339:T402" si="100" xml:space="preserve"> "- rho "&amp;F339</f>
        <v xml:space="preserve">- rho 450 </v>
      </c>
      <c r="U339" s="339" t="str">
        <f t="shared" si="94"/>
        <v>[0,22]</v>
      </c>
      <c r="V339" s="1118" t="s">
        <v>1702</v>
      </c>
    </row>
    <row r="340" spans="2:22" ht="12" hidden="1" customHeight="1">
      <c r="B340" s="1271" t="s">
        <v>1421</v>
      </c>
      <c r="C340" s="1271"/>
      <c r="D340" s="228" t="str">
        <f t="shared" si="90"/>
        <v>4.4.4  Vollblöcke (Vbl) aus Leichtbeton - LM21/DM</v>
      </c>
      <c r="F340" s="213" t="s">
        <v>1367</v>
      </c>
      <c r="G340" s="213">
        <v>0.23</v>
      </c>
      <c r="H340" s="228" t="str">
        <f t="shared" ref="H340:H347" si="101">H339</f>
        <v xml:space="preserve">5/10 </v>
      </c>
      <c r="K340" s="1073"/>
      <c r="O340" s="324" t="str">
        <f t="shared" si="91"/>
        <v/>
      </c>
      <c r="P340" s="324" t="str">
        <f t="shared" si="95"/>
        <v/>
      </c>
      <c r="Q340" s="324" t="str">
        <f t="shared" si="92"/>
        <v>4.4.4  Vollblöcke (Vbl) - LM21/DM - rho 500  [0,23] (aus Leichtbeton)</v>
      </c>
      <c r="R340" s="338">
        <f t="shared" si="93"/>
        <v>0.23</v>
      </c>
      <c r="S340" s="1119" t="str">
        <f t="shared" ref="S340:S370" si="102">SUBSTITUTE(D340,"aus Leichtbeton ","")</f>
        <v>4.4.4  Vollblöcke (Vbl) - LM21/DM</v>
      </c>
      <c r="T340" s="339" t="str">
        <f t="shared" si="100"/>
        <v xml:space="preserve">- rho 500 </v>
      </c>
      <c r="U340" s="339" t="str">
        <f t="shared" si="94"/>
        <v>[0,23]</v>
      </c>
      <c r="V340" s="1118" t="s">
        <v>1702</v>
      </c>
    </row>
    <row r="341" spans="2:22" hidden="1">
      <c r="B341" s="1271"/>
      <c r="C341" s="1271"/>
      <c r="D341" s="228" t="str">
        <f t="shared" si="90"/>
        <v>4.4.4  Vollblöcke (Vbl) aus Leichtbeton - LM21/DM</v>
      </c>
      <c r="F341" s="213" t="s">
        <v>1368</v>
      </c>
      <c r="G341" s="213">
        <v>0.24</v>
      </c>
      <c r="H341" s="228" t="str">
        <f t="shared" si="101"/>
        <v xml:space="preserve">5/10 </v>
      </c>
      <c r="K341" s="1073"/>
      <c r="O341" s="324" t="str">
        <f t="shared" si="91"/>
        <v/>
      </c>
      <c r="P341" s="324" t="str">
        <f t="shared" si="95"/>
        <v/>
      </c>
      <c r="Q341" s="324" t="str">
        <f t="shared" si="92"/>
        <v>4.4.4  Vollblöcke (Vbl) - LM21/DM - rho 550  [0,24] (aus Leichtbeton)</v>
      </c>
      <c r="R341" s="338">
        <f t="shared" si="93"/>
        <v>0.24</v>
      </c>
      <c r="S341" s="1119" t="str">
        <f t="shared" si="102"/>
        <v>4.4.4  Vollblöcke (Vbl) - LM21/DM</v>
      </c>
      <c r="T341" s="339" t="str">
        <f t="shared" si="100"/>
        <v xml:space="preserve">- rho 550 </v>
      </c>
      <c r="U341" s="339" t="str">
        <f t="shared" si="94"/>
        <v>[0,24]</v>
      </c>
      <c r="V341" s="1118" t="s">
        <v>1702</v>
      </c>
    </row>
    <row r="342" spans="2:22" hidden="1">
      <c r="B342" s="1271"/>
      <c r="C342" s="1271"/>
      <c r="D342" s="228" t="str">
        <f t="shared" si="90"/>
        <v>4.4.4  Vollblöcke (Vbl) aus Leichtbeton - LM21/DM</v>
      </c>
      <c r="F342" s="213" t="s">
        <v>1369</v>
      </c>
      <c r="G342" s="213">
        <v>0.25</v>
      </c>
      <c r="H342" s="228" t="str">
        <f t="shared" si="101"/>
        <v xml:space="preserve">5/10 </v>
      </c>
      <c r="K342" s="1073"/>
      <c r="O342" s="324" t="str">
        <f t="shared" si="91"/>
        <v/>
      </c>
      <c r="P342" s="324" t="str">
        <f t="shared" si="95"/>
        <v/>
      </c>
      <c r="Q342" s="324" t="str">
        <f t="shared" si="92"/>
        <v>4.4.4  Vollblöcke (Vbl) - LM21/DM - rho 600  [0,25] (aus Leichtbeton)</v>
      </c>
      <c r="R342" s="338">
        <f t="shared" si="93"/>
        <v>0.25</v>
      </c>
      <c r="S342" s="1119" t="str">
        <f t="shared" si="102"/>
        <v>4.4.4  Vollblöcke (Vbl) - LM21/DM</v>
      </c>
      <c r="T342" s="339" t="str">
        <f t="shared" si="100"/>
        <v xml:space="preserve">- rho 600 </v>
      </c>
      <c r="U342" s="339" t="str">
        <f t="shared" si="94"/>
        <v>[0,25]</v>
      </c>
      <c r="V342" s="1118" t="s">
        <v>1702</v>
      </c>
    </row>
    <row r="343" spans="2:22" hidden="1">
      <c r="B343" s="1271"/>
      <c r="C343" s="1271"/>
      <c r="D343" s="228" t="str">
        <f t="shared" si="90"/>
        <v>4.4.4  Vollblöcke (Vbl) aus Leichtbeton - LM21/DM</v>
      </c>
      <c r="F343" s="213" t="s">
        <v>1370</v>
      </c>
      <c r="G343" s="213">
        <v>0.26</v>
      </c>
      <c r="H343" s="228" t="str">
        <f t="shared" si="101"/>
        <v xml:space="preserve">5/10 </v>
      </c>
      <c r="K343" s="1073"/>
      <c r="O343" s="324" t="str">
        <f t="shared" si="91"/>
        <v/>
      </c>
      <c r="P343" s="324" t="str">
        <f t="shared" si="95"/>
        <v/>
      </c>
      <c r="Q343" s="324" t="str">
        <f t="shared" si="92"/>
        <v>4.4.4  Vollblöcke (Vbl) - LM21/DM - rho 650  [0,26] (aus Leichtbeton)</v>
      </c>
      <c r="R343" s="338">
        <f t="shared" si="93"/>
        <v>0.26</v>
      </c>
      <c r="S343" s="1119" t="str">
        <f t="shared" si="102"/>
        <v>4.4.4  Vollblöcke (Vbl) - LM21/DM</v>
      </c>
      <c r="T343" s="339" t="str">
        <f t="shared" si="100"/>
        <v xml:space="preserve">- rho 650 </v>
      </c>
      <c r="U343" s="339" t="str">
        <f t="shared" si="94"/>
        <v>[0,26]</v>
      </c>
      <c r="V343" s="1118" t="s">
        <v>1702</v>
      </c>
    </row>
    <row r="344" spans="2:22" hidden="1">
      <c r="B344" s="1271"/>
      <c r="C344" s="1271"/>
      <c r="D344" s="228" t="str">
        <f t="shared" si="90"/>
        <v>4.4.4  Vollblöcke (Vbl) aus Leichtbeton - LM21/DM</v>
      </c>
      <c r="F344" s="213" t="s">
        <v>1199</v>
      </c>
      <c r="G344" s="213">
        <v>0.27</v>
      </c>
      <c r="H344" s="228" t="str">
        <f t="shared" si="101"/>
        <v xml:space="preserve">5/10 </v>
      </c>
      <c r="K344" s="1073"/>
      <c r="O344" s="324" t="str">
        <f t="shared" si="91"/>
        <v/>
      </c>
      <c r="P344" s="324" t="str">
        <f t="shared" si="95"/>
        <v/>
      </c>
      <c r="Q344" s="324" t="str">
        <f t="shared" si="92"/>
        <v>4.4.4  Vollblöcke (Vbl) - LM21/DM - rho 700  [0,27] (aus Leichtbeton)</v>
      </c>
      <c r="R344" s="338">
        <f t="shared" si="93"/>
        <v>0.27</v>
      </c>
      <c r="S344" s="1119" t="str">
        <f t="shared" si="102"/>
        <v>4.4.4  Vollblöcke (Vbl) - LM21/DM</v>
      </c>
      <c r="T344" s="339" t="str">
        <f t="shared" si="100"/>
        <v xml:space="preserve">- rho 700 </v>
      </c>
      <c r="U344" s="339" t="str">
        <f t="shared" si="94"/>
        <v>[0,27]</v>
      </c>
      <c r="V344" s="1118" t="s">
        <v>1702</v>
      </c>
    </row>
    <row r="345" spans="2:22" hidden="1">
      <c r="B345" s="1271"/>
      <c r="C345" s="1271"/>
      <c r="D345" s="228" t="str">
        <f t="shared" si="90"/>
        <v>4.4.4  Vollblöcke (Vbl) aus Leichtbeton - LM21/DM</v>
      </c>
      <c r="F345" s="213" t="s">
        <v>1353</v>
      </c>
      <c r="G345" s="213">
        <v>0.28999999999999998</v>
      </c>
      <c r="H345" s="228" t="str">
        <f t="shared" si="101"/>
        <v xml:space="preserve">5/10 </v>
      </c>
      <c r="K345" s="1073"/>
      <c r="O345" s="324" t="str">
        <f t="shared" si="91"/>
        <v/>
      </c>
      <c r="P345" s="324" t="str">
        <f t="shared" si="95"/>
        <v/>
      </c>
      <c r="Q345" s="324" t="str">
        <f t="shared" si="92"/>
        <v>4.4.4  Vollblöcke (Vbl) - LM21/DM - rho 800  [0,29] (aus Leichtbeton)</v>
      </c>
      <c r="R345" s="338">
        <f t="shared" si="93"/>
        <v>0.28999999999999998</v>
      </c>
      <c r="S345" s="1119" t="str">
        <f t="shared" si="102"/>
        <v>4.4.4  Vollblöcke (Vbl) - LM21/DM</v>
      </c>
      <c r="T345" s="339" t="str">
        <f t="shared" si="100"/>
        <v xml:space="preserve">- rho 800 </v>
      </c>
      <c r="U345" s="339" t="str">
        <f t="shared" si="94"/>
        <v>[0,29]</v>
      </c>
      <c r="V345" s="1118" t="s">
        <v>1702</v>
      </c>
    </row>
    <row r="346" spans="2:22" hidden="1">
      <c r="B346" s="1271"/>
      <c r="C346" s="1271"/>
      <c r="D346" s="228" t="str">
        <f t="shared" si="90"/>
        <v>4.4.4  Vollblöcke (Vbl) aus Leichtbeton - LM21/DM</v>
      </c>
      <c r="F346" s="213" t="s">
        <v>1355</v>
      </c>
      <c r="G346" s="213">
        <v>0.32</v>
      </c>
      <c r="H346" s="228" t="str">
        <f t="shared" si="101"/>
        <v xml:space="preserve">5/10 </v>
      </c>
      <c r="K346" s="1073"/>
      <c r="O346" s="324" t="str">
        <f t="shared" si="91"/>
        <v/>
      </c>
      <c r="P346" s="324" t="str">
        <f t="shared" si="95"/>
        <v/>
      </c>
      <c r="Q346" s="324" t="str">
        <f t="shared" si="92"/>
        <v>4.4.4  Vollblöcke (Vbl) - LM21/DM - rho 900  [0,32] (aus Leichtbeton)</v>
      </c>
      <c r="R346" s="338">
        <f t="shared" si="93"/>
        <v>0.32</v>
      </c>
      <c r="S346" s="1119" t="str">
        <f t="shared" si="102"/>
        <v>4.4.4  Vollblöcke (Vbl) - LM21/DM</v>
      </c>
      <c r="T346" s="339" t="str">
        <f t="shared" si="100"/>
        <v xml:space="preserve">- rho 900 </v>
      </c>
      <c r="U346" s="339" t="str">
        <f t="shared" si="94"/>
        <v>[0,32]</v>
      </c>
      <c r="V346" s="1118" t="s">
        <v>1702</v>
      </c>
    </row>
    <row r="347" spans="2:22" hidden="1">
      <c r="D347" s="228" t="str">
        <f t="shared" si="90"/>
        <v>4.4.4  Vollblöcke (Vbl) aus Leichtbeton - LM21/DM</v>
      </c>
      <c r="F347" s="213" t="s">
        <v>1376</v>
      </c>
      <c r="G347" s="213">
        <v>0.34</v>
      </c>
      <c r="H347" s="228" t="str">
        <f t="shared" si="101"/>
        <v xml:space="preserve">5/10 </v>
      </c>
      <c r="K347" s="1073"/>
      <c r="O347" s="324" t="str">
        <f t="shared" si="91"/>
        <v/>
      </c>
      <c r="P347" s="324" t="str">
        <f t="shared" si="95"/>
        <v/>
      </c>
      <c r="Q347" s="324" t="str">
        <f t="shared" si="92"/>
        <v>4.4.4  Vollblöcke (Vbl) - LM21/DM - rho 1000  [0,34] (aus Leichtbeton)</v>
      </c>
      <c r="R347" s="338">
        <f t="shared" si="93"/>
        <v>0.34</v>
      </c>
      <c r="S347" s="1119" t="str">
        <f t="shared" si="102"/>
        <v>4.4.4  Vollblöcke (Vbl) - LM21/DM</v>
      </c>
      <c r="T347" s="339" t="str">
        <f t="shared" si="100"/>
        <v xml:space="preserve">- rho 1000 </v>
      </c>
      <c r="U347" s="339" t="str">
        <f t="shared" si="94"/>
        <v>[0,34]</v>
      </c>
      <c r="V347" s="1118" t="s">
        <v>1702</v>
      </c>
    </row>
    <row r="348" spans="2:22" hidden="1">
      <c r="D348" s="213" t="s">
        <v>3322</v>
      </c>
      <c r="F348" s="213" t="s">
        <v>1366</v>
      </c>
      <c r="G348" s="213">
        <v>0.23</v>
      </c>
      <c r="H348" s="213" t="s">
        <v>1365</v>
      </c>
      <c r="I348" s="213" t="s">
        <v>1417</v>
      </c>
      <c r="K348" s="1073"/>
      <c r="O348" s="324" t="str">
        <f t="shared" si="91"/>
        <v/>
      </c>
      <c r="P348" s="324" t="str">
        <f t="shared" si="95"/>
        <v/>
      </c>
      <c r="Q348" s="324" t="str">
        <f t="shared" si="92"/>
        <v>4.4.4  Vollblöcke (Vbl) - LM36 - rho 450  [0,23] (aus Leichtbeton)</v>
      </c>
      <c r="R348" s="338">
        <f t="shared" si="93"/>
        <v>0.23</v>
      </c>
      <c r="S348" s="1119" t="str">
        <f t="shared" si="102"/>
        <v>4.4.4  Vollblöcke (Vbl) - LM36</v>
      </c>
      <c r="T348" s="339" t="str">
        <f t="shared" si="100"/>
        <v xml:space="preserve">- rho 450 </v>
      </c>
      <c r="U348" s="339" t="str">
        <f t="shared" si="94"/>
        <v>[0,23]</v>
      </c>
      <c r="V348" s="1118" t="s">
        <v>1702</v>
      </c>
    </row>
    <row r="349" spans="2:22" hidden="1">
      <c r="D349" s="228" t="str">
        <f t="shared" si="90"/>
        <v>4.4.4  Vollblöcke (Vbl) aus Leichtbeton - LM36</v>
      </c>
      <c r="F349" s="213" t="s">
        <v>1367</v>
      </c>
      <c r="G349" s="213">
        <v>0.24</v>
      </c>
      <c r="H349" s="228" t="str">
        <f t="shared" ref="H349:H356" si="103">H348</f>
        <v xml:space="preserve">5/10 </v>
      </c>
      <c r="K349" s="1073"/>
      <c r="O349" s="324" t="str">
        <f t="shared" si="91"/>
        <v/>
      </c>
      <c r="P349" s="324" t="str">
        <f t="shared" si="95"/>
        <v/>
      </c>
      <c r="Q349" s="324" t="str">
        <f t="shared" si="92"/>
        <v>4.4.4  Vollblöcke (Vbl) - LM36 - rho 500  [0,24] (aus Leichtbeton)</v>
      </c>
      <c r="R349" s="338">
        <f t="shared" si="93"/>
        <v>0.24</v>
      </c>
      <c r="S349" s="1119" t="str">
        <f t="shared" si="102"/>
        <v>4.4.4  Vollblöcke (Vbl) - LM36</v>
      </c>
      <c r="T349" s="339" t="str">
        <f t="shared" si="100"/>
        <v xml:space="preserve">- rho 500 </v>
      </c>
      <c r="U349" s="339" t="str">
        <f t="shared" si="94"/>
        <v>[0,24]</v>
      </c>
      <c r="V349" s="1118" t="s">
        <v>1702</v>
      </c>
    </row>
    <row r="350" spans="2:22" hidden="1">
      <c r="D350" s="228" t="str">
        <f t="shared" si="90"/>
        <v>4.4.4  Vollblöcke (Vbl) aus Leichtbeton - LM36</v>
      </c>
      <c r="F350" s="213" t="s">
        <v>1368</v>
      </c>
      <c r="G350" s="213">
        <v>0.25</v>
      </c>
      <c r="H350" s="228" t="str">
        <f t="shared" si="103"/>
        <v xml:space="preserve">5/10 </v>
      </c>
      <c r="K350" s="1073"/>
      <c r="O350" s="324" t="str">
        <f t="shared" si="91"/>
        <v/>
      </c>
      <c r="P350" s="324" t="str">
        <f t="shared" si="95"/>
        <v/>
      </c>
      <c r="Q350" s="324" t="str">
        <f t="shared" si="92"/>
        <v>4.4.4  Vollblöcke (Vbl) - LM36 - rho 550  [0,25] (aus Leichtbeton)</v>
      </c>
      <c r="R350" s="338">
        <f t="shared" si="93"/>
        <v>0.25</v>
      </c>
      <c r="S350" s="1119" t="str">
        <f t="shared" si="102"/>
        <v>4.4.4  Vollblöcke (Vbl) - LM36</v>
      </c>
      <c r="T350" s="339" t="str">
        <f t="shared" si="100"/>
        <v xml:space="preserve">- rho 550 </v>
      </c>
      <c r="U350" s="339" t="str">
        <f t="shared" si="94"/>
        <v>[0,25]</v>
      </c>
      <c r="V350" s="1118" t="s">
        <v>1702</v>
      </c>
    </row>
    <row r="351" spans="2:22" hidden="1">
      <c r="D351" s="228" t="str">
        <f t="shared" si="90"/>
        <v>4.4.4  Vollblöcke (Vbl) aus Leichtbeton - LM36</v>
      </c>
      <c r="F351" s="213" t="s">
        <v>1369</v>
      </c>
      <c r="G351" s="213">
        <v>0.26</v>
      </c>
      <c r="H351" s="228" t="str">
        <f t="shared" si="103"/>
        <v xml:space="preserve">5/10 </v>
      </c>
      <c r="K351" s="1073"/>
      <c r="O351" s="324" t="str">
        <f t="shared" si="91"/>
        <v/>
      </c>
      <c r="P351" s="324" t="str">
        <f t="shared" si="95"/>
        <v/>
      </c>
      <c r="Q351" s="324" t="str">
        <f t="shared" si="92"/>
        <v>4.4.4  Vollblöcke (Vbl) - LM36 - rho 600  [0,26] (aus Leichtbeton)</v>
      </c>
      <c r="R351" s="338">
        <f t="shared" si="93"/>
        <v>0.26</v>
      </c>
      <c r="S351" s="1119" t="str">
        <f t="shared" si="102"/>
        <v>4.4.4  Vollblöcke (Vbl) - LM36</v>
      </c>
      <c r="T351" s="339" t="str">
        <f t="shared" si="100"/>
        <v xml:space="preserve">- rho 600 </v>
      </c>
      <c r="U351" s="339" t="str">
        <f t="shared" si="94"/>
        <v>[0,26]</v>
      </c>
      <c r="V351" s="1118" t="s">
        <v>1702</v>
      </c>
    </row>
    <row r="352" spans="2:22" hidden="1">
      <c r="D352" s="228" t="str">
        <f t="shared" si="90"/>
        <v>4.4.4  Vollblöcke (Vbl) aus Leichtbeton - LM36</v>
      </c>
      <c r="F352" s="213" t="s">
        <v>1370</v>
      </c>
      <c r="G352" s="213">
        <v>0.27</v>
      </c>
      <c r="H352" s="228" t="str">
        <f t="shared" si="103"/>
        <v xml:space="preserve">5/10 </v>
      </c>
      <c r="K352" s="1073"/>
      <c r="O352" s="324" t="str">
        <f t="shared" si="91"/>
        <v/>
      </c>
      <c r="P352" s="324" t="str">
        <f t="shared" si="95"/>
        <v/>
      </c>
      <c r="Q352" s="324" t="str">
        <f t="shared" si="92"/>
        <v>4.4.4  Vollblöcke (Vbl) - LM36 - rho 650  [0,27] (aus Leichtbeton)</v>
      </c>
      <c r="R352" s="338">
        <f t="shared" si="93"/>
        <v>0.27</v>
      </c>
      <c r="S352" s="1119" t="str">
        <f t="shared" si="102"/>
        <v>4.4.4  Vollblöcke (Vbl) - LM36</v>
      </c>
      <c r="T352" s="339" t="str">
        <f t="shared" si="100"/>
        <v xml:space="preserve">- rho 650 </v>
      </c>
      <c r="U352" s="339" t="str">
        <f t="shared" si="94"/>
        <v>[0,27]</v>
      </c>
      <c r="V352" s="1118" t="s">
        <v>1702</v>
      </c>
    </row>
    <row r="353" spans="4:22" hidden="1">
      <c r="D353" s="228" t="str">
        <f t="shared" si="90"/>
        <v>4.4.4  Vollblöcke (Vbl) aus Leichtbeton - LM36</v>
      </c>
      <c r="F353" s="213" t="s">
        <v>1199</v>
      </c>
      <c r="G353" s="213">
        <v>0.28000000000000003</v>
      </c>
      <c r="H353" s="228" t="str">
        <f t="shared" si="103"/>
        <v xml:space="preserve">5/10 </v>
      </c>
      <c r="K353" s="1073"/>
      <c r="O353" s="324" t="str">
        <f t="shared" si="91"/>
        <v/>
      </c>
      <c r="P353" s="324" t="str">
        <f t="shared" si="95"/>
        <v/>
      </c>
      <c r="Q353" s="324" t="str">
        <f t="shared" si="92"/>
        <v>4.4.4  Vollblöcke (Vbl) - LM36 - rho 700  [0,28] (aus Leichtbeton)</v>
      </c>
      <c r="R353" s="338">
        <f t="shared" si="93"/>
        <v>0.28000000000000003</v>
      </c>
      <c r="S353" s="1119" t="str">
        <f t="shared" si="102"/>
        <v>4.4.4  Vollblöcke (Vbl) - LM36</v>
      </c>
      <c r="T353" s="339" t="str">
        <f t="shared" si="100"/>
        <v xml:space="preserve">- rho 700 </v>
      </c>
      <c r="U353" s="339" t="str">
        <f t="shared" si="94"/>
        <v>[0,28]</v>
      </c>
      <c r="V353" s="1118" t="s">
        <v>1702</v>
      </c>
    </row>
    <row r="354" spans="4:22" hidden="1">
      <c r="D354" s="228" t="str">
        <f t="shared" si="90"/>
        <v>4.4.4  Vollblöcke (Vbl) aus Leichtbeton - LM36</v>
      </c>
      <c r="F354" s="213" t="s">
        <v>1353</v>
      </c>
      <c r="G354" s="213">
        <v>0.3</v>
      </c>
      <c r="H354" s="228" t="str">
        <f t="shared" si="103"/>
        <v xml:space="preserve">5/10 </v>
      </c>
      <c r="K354" s="1073"/>
      <c r="O354" s="324" t="str">
        <f t="shared" si="91"/>
        <v/>
      </c>
      <c r="P354" s="324" t="str">
        <f t="shared" si="95"/>
        <v/>
      </c>
      <c r="Q354" s="324" t="str">
        <f t="shared" si="92"/>
        <v>4.4.4  Vollblöcke (Vbl) - LM36 - rho 800  [0,3] (aus Leichtbeton)</v>
      </c>
      <c r="R354" s="338">
        <f t="shared" si="93"/>
        <v>0.3</v>
      </c>
      <c r="S354" s="1119" t="str">
        <f t="shared" si="102"/>
        <v>4.4.4  Vollblöcke (Vbl) - LM36</v>
      </c>
      <c r="T354" s="339" t="str">
        <f t="shared" si="100"/>
        <v xml:space="preserve">- rho 800 </v>
      </c>
      <c r="U354" s="339" t="str">
        <f t="shared" si="94"/>
        <v>[0,3]</v>
      </c>
      <c r="V354" s="1118" t="s">
        <v>1702</v>
      </c>
    </row>
    <row r="355" spans="4:22" hidden="1">
      <c r="D355" s="228" t="str">
        <f t="shared" si="90"/>
        <v>4.4.4  Vollblöcke (Vbl) aus Leichtbeton - LM36</v>
      </c>
      <c r="F355" s="213" t="s">
        <v>1355</v>
      </c>
      <c r="G355" s="213">
        <v>0.32</v>
      </c>
      <c r="H355" s="228" t="str">
        <f t="shared" si="103"/>
        <v xml:space="preserve">5/10 </v>
      </c>
      <c r="K355" s="1073"/>
      <c r="O355" s="324" t="str">
        <f t="shared" si="91"/>
        <v/>
      </c>
      <c r="P355" s="324" t="str">
        <f t="shared" si="95"/>
        <v/>
      </c>
      <c r="Q355" s="324" t="str">
        <f t="shared" si="92"/>
        <v>4.4.4  Vollblöcke (Vbl) - LM36 - rho 900  [0,32] (aus Leichtbeton)</v>
      </c>
      <c r="R355" s="338">
        <f t="shared" si="93"/>
        <v>0.32</v>
      </c>
      <c r="S355" s="1119" t="str">
        <f t="shared" si="102"/>
        <v>4.4.4  Vollblöcke (Vbl) - LM36</v>
      </c>
      <c r="T355" s="339" t="str">
        <f t="shared" si="100"/>
        <v xml:space="preserve">- rho 900 </v>
      </c>
      <c r="U355" s="339" t="str">
        <f t="shared" si="94"/>
        <v>[0,32]</v>
      </c>
      <c r="V355" s="1118" t="s">
        <v>1702</v>
      </c>
    </row>
    <row r="356" spans="4:22" hidden="1">
      <c r="D356" s="228" t="str">
        <f t="shared" si="90"/>
        <v>4.4.4  Vollblöcke (Vbl) aus Leichtbeton - LM36</v>
      </c>
      <c r="F356" s="213" t="s">
        <v>1376</v>
      </c>
      <c r="G356" s="213">
        <v>0.35</v>
      </c>
      <c r="H356" s="228" t="str">
        <f t="shared" si="103"/>
        <v xml:space="preserve">5/10 </v>
      </c>
      <c r="K356" s="1073"/>
      <c r="O356" s="324" t="str">
        <f t="shared" si="91"/>
        <v/>
      </c>
      <c r="P356" s="324" t="str">
        <f t="shared" si="95"/>
        <v/>
      </c>
      <c r="Q356" s="324" t="str">
        <f t="shared" si="92"/>
        <v>4.4.4  Vollblöcke (Vbl) - LM36 - rho 1000  [0,35] (aus Leichtbeton)</v>
      </c>
      <c r="R356" s="338">
        <f t="shared" si="93"/>
        <v>0.35</v>
      </c>
      <c r="S356" s="1119" t="str">
        <f t="shared" si="102"/>
        <v>4.4.4  Vollblöcke (Vbl) - LM36</v>
      </c>
      <c r="T356" s="339" t="str">
        <f t="shared" si="100"/>
        <v xml:space="preserve">- rho 1000 </v>
      </c>
      <c r="U356" s="339" t="str">
        <f t="shared" si="94"/>
        <v>[0,35]</v>
      </c>
      <c r="V356" s="1118" t="s">
        <v>1702</v>
      </c>
    </row>
    <row r="357" spans="4:22" hidden="1">
      <c r="D357" s="213" t="s">
        <v>3324</v>
      </c>
      <c r="F357" s="213" t="s">
        <v>1366</v>
      </c>
      <c r="G357" s="213">
        <v>0.28000000000000003</v>
      </c>
      <c r="H357" s="213" t="s">
        <v>1365</v>
      </c>
      <c r="I357" s="213" t="s">
        <v>1176</v>
      </c>
      <c r="K357" s="1073"/>
      <c r="O357" s="324" t="str">
        <f t="shared" si="91"/>
        <v/>
      </c>
      <c r="P357" s="324" t="str">
        <f t="shared" si="95"/>
        <v/>
      </c>
      <c r="Q357" s="324" t="str">
        <f t="shared" si="92"/>
        <v>4.4.4  Vollblöcke (Vbl) - NM - rho 450  [0,28] (aus Leichtbeton)</v>
      </c>
      <c r="R357" s="338">
        <f t="shared" si="93"/>
        <v>0.28000000000000003</v>
      </c>
      <c r="S357" s="1119" t="str">
        <f t="shared" si="102"/>
        <v>4.4.4  Vollblöcke (Vbl) - NM</v>
      </c>
      <c r="T357" s="339" t="str">
        <f t="shared" si="100"/>
        <v xml:space="preserve">- rho 450 </v>
      </c>
      <c r="U357" s="339" t="str">
        <f t="shared" si="94"/>
        <v>[0,28]</v>
      </c>
      <c r="V357" s="1118" t="s">
        <v>1702</v>
      </c>
    </row>
    <row r="358" spans="4:22" hidden="1">
      <c r="D358" s="228" t="str">
        <f t="shared" si="90"/>
        <v>4.4.4  Vollblöcke (Vbl) aus Leichtbeton - NM</v>
      </c>
      <c r="F358" s="213" t="s">
        <v>1367</v>
      </c>
      <c r="G358" s="213">
        <v>0.28999999999999998</v>
      </c>
      <c r="H358" s="228" t="str">
        <f t="shared" ref="H358:H367" si="104">H357</f>
        <v xml:space="preserve">5/10 </v>
      </c>
      <c r="O358" s="324" t="str">
        <f t="shared" si="91"/>
        <v/>
      </c>
      <c r="P358" s="324" t="str">
        <f t="shared" si="95"/>
        <v/>
      </c>
      <c r="Q358" s="324" t="str">
        <f t="shared" si="92"/>
        <v>4.4.4  Vollblöcke (Vbl) - NM - rho 500  [0,29] (aus Leichtbeton)</v>
      </c>
      <c r="R358" s="338">
        <f t="shared" si="93"/>
        <v>0.28999999999999998</v>
      </c>
      <c r="S358" s="1119" t="str">
        <f t="shared" si="102"/>
        <v>4.4.4  Vollblöcke (Vbl) - NM</v>
      </c>
      <c r="T358" s="339" t="str">
        <f t="shared" si="100"/>
        <v xml:space="preserve">- rho 500 </v>
      </c>
      <c r="U358" s="339" t="str">
        <f t="shared" si="94"/>
        <v>[0,29]</v>
      </c>
      <c r="V358" s="1118" t="s">
        <v>1702</v>
      </c>
    </row>
    <row r="359" spans="4:22" hidden="1">
      <c r="D359" s="228" t="str">
        <f t="shared" si="90"/>
        <v>4.4.4  Vollblöcke (Vbl) aus Leichtbeton - NM</v>
      </c>
      <c r="F359" s="213" t="s">
        <v>1368</v>
      </c>
      <c r="G359" s="213">
        <v>0.3</v>
      </c>
      <c r="H359" s="228" t="str">
        <f t="shared" si="104"/>
        <v xml:space="preserve">5/10 </v>
      </c>
      <c r="O359" s="324" t="str">
        <f t="shared" si="91"/>
        <v/>
      </c>
      <c r="P359" s="324" t="str">
        <f t="shared" si="95"/>
        <v/>
      </c>
      <c r="Q359" s="324" t="str">
        <f t="shared" si="92"/>
        <v>4.4.4  Vollblöcke (Vbl) - NM - rho 550  [0,3] (aus Leichtbeton)</v>
      </c>
      <c r="R359" s="338">
        <f t="shared" si="93"/>
        <v>0.3</v>
      </c>
      <c r="S359" s="1119" t="str">
        <f t="shared" si="102"/>
        <v>4.4.4  Vollblöcke (Vbl) - NM</v>
      </c>
      <c r="T359" s="339" t="str">
        <f t="shared" si="100"/>
        <v xml:space="preserve">- rho 550 </v>
      </c>
      <c r="U359" s="339" t="str">
        <f t="shared" si="94"/>
        <v>[0,3]</v>
      </c>
      <c r="V359" s="1118" t="s">
        <v>1702</v>
      </c>
    </row>
    <row r="360" spans="4:22" hidden="1">
      <c r="D360" s="228" t="str">
        <f t="shared" si="90"/>
        <v>4.4.4  Vollblöcke (Vbl) aus Leichtbeton - NM</v>
      </c>
      <c r="F360" s="213" t="s">
        <v>1369</v>
      </c>
      <c r="G360" s="213">
        <v>0.31</v>
      </c>
      <c r="H360" s="228" t="str">
        <f t="shared" si="104"/>
        <v xml:space="preserve">5/10 </v>
      </c>
      <c r="O360" s="324" t="str">
        <f t="shared" si="91"/>
        <v/>
      </c>
      <c r="P360" s="324" t="str">
        <f t="shared" si="95"/>
        <v/>
      </c>
      <c r="Q360" s="324" t="str">
        <f t="shared" si="92"/>
        <v>4.4.4  Vollblöcke (Vbl) - NM - rho 600  [0,31] (aus Leichtbeton)</v>
      </c>
      <c r="R360" s="338">
        <f t="shared" si="93"/>
        <v>0.31</v>
      </c>
      <c r="S360" s="1119" t="str">
        <f t="shared" si="102"/>
        <v>4.4.4  Vollblöcke (Vbl) - NM</v>
      </c>
      <c r="T360" s="339" t="str">
        <f t="shared" si="100"/>
        <v xml:space="preserve">- rho 600 </v>
      </c>
      <c r="U360" s="339" t="str">
        <f t="shared" si="94"/>
        <v>[0,31]</v>
      </c>
      <c r="V360" s="1118" t="s">
        <v>1702</v>
      </c>
    </row>
    <row r="361" spans="4:22" hidden="1">
      <c r="D361" s="228" t="str">
        <f t="shared" si="90"/>
        <v>4.4.4  Vollblöcke (Vbl) aus Leichtbeton - NM</v>
      </c>
      <c r="F361" s="213" t="s">
        <v>1370</v>
      </c>
      <c r="G361" s="213">
        <v>0.32</v>
      </c>
      <c r="H361" s="228" t="str">
        <f t="shared" si="104"/>
        <v xml:space="preserve">5/10 </v>
      </c>
      <c r="O361" s="324" t="str">
        <f t="shared" si="91"/>
        <v/>
      </c>
      <c r="P361" s="324" t="str">
        <f t="shared" si="95"/>
        <v/>
      </c>
      <c r="Q361" s="324" t="str">
        <f t="shared" si="92"/>
        <v>4.4.4  Vollblöcke (Vbl) - NM - rho 650  [0,32] (aus Leichtbeton)</v>
      </c>
      <c r="R361" s="338">
        <f t="shared" si="93"/>
        <v>0.32</v>
      </c>
      <c r="S361" s="1119" t="str">
        <f t="shared" si="102"/>
        <v>4.4.4  Vollblöcke (Vbl) - NM</v>
      </c>
      <c r="T361" s="339" t="str">
        <f t="shared" si="100"/>
        <v xml:space="preserve">- rho 650 </v>
      </c>
      <c r="U361" s="339" t="str">
        <f t="shared" si="94"/>
        <v>[0,32]</v>
      </c>
      <c r="V361" s="1118" t="s">
        <v>1702</v>
      </c>
    </row>
    <row r="362" spans="4:22" hidden="1">
      <c r="D362" s="228" t="str">
        <f t="shared" si="90"/>
        <v>4.4.4  Vollblöcke (Vbl) aus Leichtbeton - NM</v>
      </c>
      <c r="F362" s="213" t="s">
        <v>1199</v>
      </c>
      <c r="G362" s="213">
        <v>0.33</v>
      </c>
      <c r="H362" s="228" t="str">
        <f t="shared" si="104"/>
        <v xml:space="preserve">5/10 </v>
      </c>
      <c r="O362" s="324" t="str">
        <f t="shared" si="91"/>
        <v/>
      </c>
      <c r="P362" s="324" t="str">
        <f t="shared" si="95"/>
        <v/>
      </c>
      <c r="Q362" s="324" t="str">
        <f t="shared" si="92"/>
        <v>4.4.4  Vollblöcke (Vbl) - NM - rho 700  [0,33] (aus Leichtbeton)</v>
      </c>
      <c r="R362" s="338">
        <f t="shared" si="93"/>
        <v>0.33</v>
      </c>
      <c r="S362" s="1119" t="str">
        <f t="shared" si="102"/>
        <v>4.4.4  Vollblöcke (Vbl) - NM</v>
      </c>
      <c r="T362" s="339" t="str">
        <f t="shared" si="100"/>
        <v xml:space="preserve">- rho 700 </v>
      </c>
      <c r="U362" s="339" t="str">
        <f t="shared" si="94"/>
        <v>[0,33]</v>
      </c>
      <c r="V362" s="1118" t="s">
        <v>1702</v>
      </c>
    </row>
    <row r="363" spans="4:22" hidden="1">
      <c r="D363" s="228" t="str">
        <f t="shared" si="90"/>
        <v>4.4.4  Vollblöcke (Vbl) aus Leichtbeton - NM</v>
      </c>
      <c r="F363" s="213" t="s">
        <v>1353</v>
      </c>
      <c r="G363" s="213">
        <v>0.36</v>
      </c>
      <c r="H363" s="228" t="str">
        <f t="shared" si="104"/>
        <v xml:space="preserve">5/10 </v>
      </c>
      <c r="O363" s="324" t="str">
        <f t="shared" si="91"/>
        <v/>
      </c>
      <c r="P363" s="324" t="str">
        <f t="shared" si="95"/>
        <v/>
      </c>
      <c r="Q363" s="324" t="str">
        <f t="shared" si="92"/>
        <v>4.4.4  Vollblöcke (Vbl) - NM - rho 800  [0,36] (aus Leichtbeton)</v>
      </c>
      <c r="R363" s="338">
        <f t="shared" si="93"/>
        <v>0.36</v>
      </c>
      <c r="S363" s="1119" t="str">
        <f t="shared" si="102"/>
        <v>4.4.4  Vollblöcke (Vbl) - NM</v>
      </c>
      <c r="T363" s="339" t="str">
        <f t="shared" si="100"/>
        <v xml:space="preserve">- rho 800 </v>
      </c>
      <c r="U363" s="339" t="str">
        <f t="shared" si="94"/>
        <v>[0,36]</v>
      </c>
      <c r="V363" s="1118" t="s">
        <v>1702</v>
      </c>
    </row>
    <row r="364" spans="4:22" hidden="1">
      <c r="D364" s="228" t="str">
        <f t="shared" si="90"/>
        <v>4.4.4  Vollblöcke (Vbl) aus Leichtbeton - NM</v>
      </c>
      <c r="F364" s="213" t="s">
        <v>1355</v>
      </c>
      <c r="G364" s="213">
        <v>0.39</v>
      </c>
      <c r="H364" s="228" t="str">
        <f t="shared" si="104"/>
        <v xml:space="preserve">5/10 </v>
      </c>
      <c r="O364" s="324" t="str">
        <f t="shared" si="91"/>
        <v/>
      </c>
      <c r="P364" s="324" t="str">
        <f t="shared" si="95"/>
        <v/>
      </c>
      <c r="Q364" s="324" t="str">
        <f t="shared" si="92"/>
        <v>4.4.4  Vollblöcke (Vbl) - NM - rho 900  [0,39] (aus Leichtbeton)</v>
      </c>
      <c r="R364" s="338">
        <f t="shared" si="93"/>
        <v>0.39</v>
      </c>
      <c r="S364" s="1119" t="str">
        <f t="shared" si="102"/>
        <v>4.4.4  Vollblöcke (Vbl) - NM</v>
      </c>
      <c r="T364" s="339" t="str">
        <f t="shared" si="100"/>
        <v xml:space="preserve">- rho 900 </v>
      </c>
      <c r="U364" s="339" t="str">
        <f t="shared" si="94"/>
        <v>[0,39]</v>
      </c>
      <c r="V364" s="1118" t="s">
        <v>1702</v>
      </c>
    </row>
    <row r="365" spans="4:22" hidden="1">
      <c r="D365" s="228" t="str">
        <f t="shared" si="90"/>
        <v>4.4.4  Vollblöcke (Vbl) aus Leichtbeton - NM</v>
      </c>
      <c r="F365" s="213" t="s">
        <v>1376</v>
      </c>
      <c r="G365" s="213">
        <v>0.42</v>
      </c>
      <c r="H365" s="228" t="str">
        <f t="shared" si="104"/>
        <v xml:space="preserve">5/10 </v>
      </c>
      <c r="O365" s="324" t="str">
        <f t="shared" si="91"/>
        <v/>
      </c>
      <c r="P365" s="324" t="str">
        <f t="shared" si="95"/>
        <v/>
      </c>
      <c r="Q365" s="324" t="str">
        <f t="shared" si="92"/>
        <v>4.4.4  Vollblöcke (Vbl) - NM - rho 1000  [0,42] (aus Leichtbeton)</v>
      </c>
      <c r="R365" s="338">
        <f t="shared" si="93"/>
        <v>0.42</v>
      </c>
      <c r="S365" s="1119" t="str">
        <f t="shared" si="102"/>
        <v>4.4.4  Vollblöcke (Vbl) - NM</v>
      </c>
      <c r="T365" s="339" t="str">
        <f t="shared" si="100"/>
        <v xml:space="preserve">- rho 1000 </v>
      </c>
      <c r="U365" s="339" t="str">
        <f t="shared" si="94"/>
        <v>[0,42]</v>
      </c>
      <c r="V365" s="1118" t="s">
        <v>1702</v>
      </c>
    </row>
    <row r="366" spans="4:22" hidden="1">
      <c r="D366" s="228" t="str">
        <f t="shared" si="90"/>
        <v>4.4.4  Vollblöcke (Vbl) aus Leichtbeton - NM</v>
      </c>
      <c r="F366" s="213" t="s">
        <v>1377</v>
      </c>
      <c r="G366" s="213">
        <v>0.49</v>
      </c>
      <c r="H366" s="228" t="str">
        <f t="shared" si="104"/>
        <v xml:space="preserve">5/10 </v>
      </c>
      <c r="O366" s="324" t="str">
        <f t="shared" si="91"/>
        <v/>
      </c>
      <c r="P366" s="324" t="str">
        <f t="shared" si="95"/>
        <v/>
      </c>
      <c r="Q366" s="324" t="str">
        <f t="shared" si="92"/>
        <v>4.4.4  Vollblöcke (Vbl) - NM - rho 1200  [0,49] (aus Leichtbeton)</v>
      </c>
      <c r="R366" s="338">
        <f t="shared" si="93"/>
        <v>0.49</v>
      </c>
      <c r="S366" s="1119" t="str">
        <f t="shared" si="102"/>
        <v>4.4.4  Vollblöcke (Vbl) - NM</v>
      </c>
      <c r="T366" s="339" t="str">
        <f t="shared" si="100"/>
        <v xml:space="preserve">- rho 1200 </v>
      </c>
      <c r="U366" s="339" t="str">
        <f t="shared" si="94"/>
        <v>[0,49]</v>
      </c>
      <c r="V366" s="1118" t="s">
        <v>1702</v>
      </c>
    </row>
    <row r="367" spans="4:22" hidden="1">
      <c r="D367" s="228" t="str">
        <f t="shared" si="90"/>
        <v>4.4.4  Vollblöcke (Vbl) aus Leichtbeton - NM</v>
      </c>
      <c r="F367" s="213" t="s">
        <v>1378</v>
      </c>
      <c r="G367" s="213">
        <v>0.56999999999999995</v>
      </c>
      <c r="H367" s="228" t="str">
        <f t="shared" si="104"/>
        <v xml:space="preserve">5/10 </v>
      </c>
      <c r="O367" s="324" t="str">
        <f t="shared" si="91"/>
        <v/>
      </c>
      <c r="P367" s="324" t="str">
        <f t="shared" si="95"/>
        <v/>
      </c>
      <c r="Q367" s="324" t="str">
        <f t="shared" si="92"/>
        <v>4.4.4  Vollblöcke (Vbl) - NM - rho 1400  [0,57] (aus Leichtbeton)</v>
      </c>
      <c r="R367" s="338">
        <f t="shared" si="93"/>
        <v>0.56999999999999995</v>
      </c>
      <c r="S367" s="1119" t="str">
        <f t="shared" si="102"/>
        <v>4.4.4  Vollblöcke (Vbl) - NM</v>
      </c>
      <c r="T367" s="339" t="str">
        <f t="shared" si="100"/>
        <v xml:space="preserve">- rho 1400 </v>
      </c>
      <c r="U367" s="339" t="str">
        <f t="shared" si="94"/>
        <v>[0,57]</v>
      </c>
      <c r="V367" s="1118" t="s">
        <v>1702</v>
      </c>
    </row>
    <row r="368" spans="4:22" hidden="1">
      <c r="D368" s="228" t="str">
        <f t="shared" ref="D368:D412" si="105">D367</f>
        <v>4.4.4  Vollblöcke (Vbl) aus Leichtbeton - NM</v>
      </c>
      <c r="F368" s="213" t="s">
        <v>1379</v>
      </c>
      <c r="G368" s="213">
        <v>0.62</v>
      </c>
      <c r="H368" s="1125" t="s">
        <v>1420</v>
      </c>
      <c r="O368" s="324" t="str">
        <f t="shared" si="91"/>
        <v/>
      </c>
      <c r="P368" s="324" t="str">
        <f t="shared" si="95"/>
        <v/>
      </c>
      <c r="Q368" s="324" t="str">
        <f t="shared" si="92"/>
        <v>4.4.4  Vollblöcke (Vbl) - NM - rho 1600  [0,62] (aus Leichtbeton)</v>
      </c>
      <c r="R368" s="338">
        <f t="shared" si="93"/>
        <v>0.62</v>
      </c>
      <c r="S368" s="1119" t="str">
        <f t="shared" si="102"/>
        <v>4.4.4  Vollblöcke (Vbl) - NM</v>
      </c>
      <c r="T368" s="339" t="str">
        <f t="shared" si="100"/>
        <v xml:space="preserve">- rho 1600 </v>
      </c>
      <c r="U368" s="339" t="str">
        <f t="shared" si="94"/>
        <v>[0,62]</v>
      </c>
      <c r="V368" s="1118" t="s">
        <v>1702</v>
      </c>
    </row>
    <row r="369" spans="2:22" hidden="1">
      <c r="D369" s="228" t="str">
        <f t="shared" si="105"/>
        <v>4.4.4  Vollblöcke (Vbl) aus Leichtbeton - NM</v>
      </c>
      <c r="F369" s="213" t="s">
        <v>1401</v>
      </c>
      <c r="G369" s="213">
        <v>0.68</v>
      </c>
      <c r="H369" s="228" t="str">
        <f t="shared" ref="H369:H370" si="106">H368</f>
        <v>10/15</v>
      </c>
      <c r="O369" s="324" t="str">
        <f t="shared" si="91"/>
        <v/>
      </c>
      <c r="P369" s="324" t="str">
        <f t="shared" si="95"/>
        <v/>
      </c>
      <c r="Q369" s="324" t="str">
        <f t="shared" si="92"/>
        <v>4.4.4  Vollblöcke (Vbl) - NM - rho 1800  [0,68] (aus Leichtbeton)</v>
      </c>
      <c r="R369" s="338">
        <f t="shared" si="93"/>
        <v>0.68</v>
      </c>
      <c r="S369" s="1119" t="str">
        <f t="shared" si="102"/>
        <v>4.4.4  Vollblöcke (Vbl) - NM</v>
      </c>
      <c r="T369" s="339" t="str">
        <f t="shared" si="100"/>
        <v xml:space="preserve">- rho 1800 </v>
      </c>
      <c r="U369" s="339" t="str">
        <f t="shared" si="94"/>
        <v>[0,68]</v>
      </c>
      <c r="V369" s="1118" t="s">
        <v>1702</v>
      </c>
    </row>
    <row r="370" spans="2:22" hidden="1">
      <c r="D370" s="228" t="str">
        <f t="shared" si="105"/>
        <v>4.4.4  Vollblöcke (Vbl) aus Leichtbeton - NM</v>
      </c>
      <c r="F370" s="213" t="s">
        <v>1403</v>
      </c>
      <c r="G370" s="213">
        <v>0.74</v>
      </c>
      <c r="H370" s="228" t="str">
        <f t="shared" si="106"/>
        <v>10/15</v>
      </c>
      <c r="O370" s="324" t="str">
        <f t="shared" si="91"/>
        <v/>
      </c>
      <c r="P370" s="324" t="str">
        <f t="shared" si="95"/>
        <v/>
      </c>
      <c r="Q370" s="324" t="str">
        <f t="shared" si="92"/>
        <v>4.4.4  Vollblöcke (Vbl) - NM - rho 2000  [0,74] (aus Leichtbeton)</v>
      </c>
      <c r="R370" s="338">
        <f t="shared" si="93"/>
        <v>0.74</v>
      </c>
      <c r="S370" s="1119" t="str">
        <f t="shared" si="102"/>
        <v>4.4.4  Vollblöcke (Vbl) - NM</v>
      </c>
      <c r="T370" s="339" t="str">
        <f t="shared" si="100"/>
        <v xml:space="preserve">- rho 2000 </v>
      </c>
      <c r="U370" s="339" t="str">
        <f t="shared" si="94"/>
        <v>[0,74]</v>
      </c>
      <c r="V370" s="1118" t="s">
        <v>1702</v>
      </c>
    </row>
    <row r="371" spans="2:22" hidden="1">
      <c r="B371" s="213" t="s">
        <v>3325</v>
      </c>
      <c r="D371" s="213" t="s">
        <v>3326</v>
      </c>
      <c r="F371" s="213" t="s">
        <v>1366</v>
      </c>
      <c r="G371" s="213">
        <v>0.21</v>
      </c>
      <c r="H371" s="213" t="s">
        <v>1365</v>
      </c>
      <c r="I371" s="213" t="s">
        <v>1417</v>
      </c>
      <c r="K371" s="1073"/>
      <c r="O371" s="324" t="str">
        <f t="shared" si="91"/>
        <v/>
      </c>
      <c r="P371" s="324" t="str">
        <f t="shared" si="95"/>
        <v>4.4.5  Betonsteine V</v>
      </c>
      <c r="Q371" s="324" t="str">
        <f t="shared" si="92"/>
        <v>4.4.5  Vollsteine (V) - LM21/DM - rho 450  [0,21]</v>
      </c>
      <c r="R371" s="338">
        <f t="shared" si="93"/>
        <v>0.21</v>
      </c>
      <c r="S371" s="339" t="str">
        <f t="shared" ref="S371:S402" si="107">D371</f>
        <v>4.4.5  Vollsteine (V) - LM21/DM</v>
      </c>
      <c r="T371" s="339" t="str">
        <f t="shared" si="100"/>
        <v xml:space="preserve">- rho 450 </v>
      </c>
      <c r="U371" s="339" t="str">
        <f t="shared" si="94"/>
        <v>[0,21]</v>
      </c>
    </row>
    <row r="372" spans="2:22" ht="12" hidden="1" customHeight="1">
      <c r="B372" s="1271" t="s">
        <v>1422</v>
      </c>
      <c r="C372" s="1271"/>
      <c r="D372" s="228" t="str">
        <f t="shared" si="105"/>
        <v>4.4.5  Vollsteine (V) - LM21/DM</v>
      </c>
      <c r="F372" s="213" t="s">
        <v>1367</v>
      </c>
      <c r="G372" s="213">
        <v>0.22</v>
      </c>
      <c r="H372" s="228" t="str">
        <f t="shared" ref="H372:H379" si="108">H371</f>
        <v xml:space="preserve">5/10 </v>
      </c>
      <c r="O372" s="324" t="str">
        <f t="shared" si="91"/>
        <v/>
      </c>
      <c r="P372" s="324" t="str">
        <f t="shared" si="95"/>
        <v/>
      </c>
      <c r="Q372" s="324" t="str">
        <f t="shared" si="92"/>
        <v>4.4.5  Vollsteine (V) - LM21/DM - rho 500  [0,22]</v>
      </c>
      <c r="R372" s="338">
        <f t="shared" si="93"/>
        <v>0.22</v>
      </c>
      <c r="S372" s="339" t="str">
        <f t="shared" si="107"/>
        <v>4.4.5  Vollsteine (V) - LM21/DM</v>
      </c>
      <c r="T372" s="339" t="str">
        <f t="shared" si="100"/>
        <v xml:space="preserve">- rho 500 </v>
      </c>
      <c r="U372" s="339" t="str">
        <f t="shared" si="94"/>
        <v>[0,22]</v>
      </c>
    </row>
    <row r="373" spans="2:22" hidden="1">
      <c r="B373" s="1271"/>
      <c r="C373" s="1271"/>
      <c r="D373" s="228" t="str">
        <f t="shared" si="105"/>
        <v>4.4.5  Vollsteine (V) - LM21/DM</v>
      </c>
      <c r="F373" s="213" t="s">
        <v>1368</v>
      </c>
      <c r="G373" s="213">
        <v>0.23</v>
      </c>
      <c r="H373" s="228" t="str">
        <f t="shared" si="108"/>
        <v xml:space="preserve">5/10 </v>
      </c>
      <c r="O373" s="324" t="str">
        <f t="shared" si="91"/>
        <v/>
      </c>
      <c r="P373" s="324" t="str">
        <f t="shared" si="95"/>
        <v/>
      </c>
      <c r="Q373" s="324" t="str">
        <f t="shared" si="92"/>
        <v>4.4.5  Vollsteine (V) - LM21/DM - rho 550  [0,23]</v>
      </c>
      <c r="R373" s="338">
        <f t="shared" si="93"/>
        <v>0.23</v>
      </c>
      <c r="S373" s="339" t="str">
        <f t="shared" si="107"/>
        <v>4.4.5  Vollsteine (V) - LM21/DM</v>
      </c>
      <c r="T373" s="339" t="str">
        <f t="shared" si="100"/>
        <v xml:space="preserve">- rho 550 </v>
      </c>
      <c r="U373" s="339" t="str">
        <f t="shared" si="94"/>
        <v>[0,23]</v>
      </c>
    </row>
    <row r="374" spans="2:22" hidden="1">
      <c r="B374" s="1271"/>
      <c r="C374" s="1271"/>
      <c r="D374" s="228" t="str">
        <f t="shared" si="105"/>
        <v>4.4.5  Vollsteine (V) - LM21/DM</v>
      </c>
      <c r="F374" s="213" t="s">
        <v>1369</v>
      </c>
      <c r="G374" s="213">
        <v>0.24</v>
      </c>
      <c r="H374" s="228" t="str">
        <f t="shared" si="108"/>
        <v xml:space="preserve">5/10 </v>
      </c>
      <c r="O374" s="324" t="str">
        <f t="shared" si="91"/>
        <v/>
      </c>
      <c r="P374" s="324" t="str">
        <f t="shared" si="95"/>
        <v/>
      </c>
      <c r="Q374" s="324" t="str">
        <f t="shared" si="92"/>
        <v>4.4.5  Vollsteine (V) - LM21/DM - rho 600  [0,24]</v>
      </c>
      <c r="R374" s="338">
        <f t="shared" si="93"/>
        <v>0.24</v>
      </c>
      <c r="S374" s="339" t="str">
        <f t="shared" si="107"/>
        <v>4.4.5  Vollsteine (V) - LM21/DM</v>
      </c>
      <c r="T374" s="339" t="str">
        <f t="shared" si="100"/>
        <v xml:space="preserve">- rho 600 </v>
      </c>
      <c r="U374" s="339" t="str">
        <f t="shared" si="94"/>
        <v>[0,24]</v>
      </c>
    </row>
    <row r="375" spans="2:22" hidden="1">
      <c r="D375" s="228" t="str">
        <f t="shared" si="105"/>
        <v>4.4.5  Vollsteine (V) - LM21/DM</v>
      </c>
      <c r="F375" s="213" t="s">
        <v>1370</v>
      </c>
      <c r="G375" s="213">
        <v>0.25</v>
      </c>
      <c r="H375" s="228" t="str">
        <f t="shared" si="108"/>
        <v xml:space="preserve">5/10 </v>
      </c>
      <c r="O375" s="324" t="str">
        <f t="shared" ref="O375:O431" si="109">IF(A375&gt;0,A375,"")</f>
        <v/>
      </c>
      <c r="P375" s="324" t="str">
        <f t="shared" si="95"/>
        <v/>
      </c>
      <c r="Q375" s="324" t="str">
        <f t="shared" ref="Q375:Q431" si="110">IF(S375&gt;0,S375,"")&amp;IF(T375&lt;&gt;""," "&amp;T375,"")&amp;IF(U375&lt;&gt;""," "&amp;U375,"")&amp;IF(V375&lt;&gt;""," "&amp;V375,"")</f>
        <v>4.4.5  Vollsteine (V) - LM21/DM - rho 650  [0,25]</v>
      </c>
      <c r="R375" s="338">
        <f t="shared" ref="R375:R431" si="111">G375</f>
        <v>0.25</v>
      </c>
      <c r="S375" s="339" t="str">
        <f t="shared" si="107"/>
        <v>4.4.5  Vollsteine (V) - LM21/DM</v>
      </c>
      <c r="T375" s="339" t="str">
        <f t="shared" si="100"/>
        <v xml:space="preserve">- rho 650 </v>
      </c>
      <c r="U375" s="339" t="str">
        <f t="shared" ref="U375:U431" si="112">IF(G375&gt;0,"["&amp;G375&amp;"]","")</f>
        <v>[0,25]</v>
      </c>
    </row>
    <row r="376" spans="2:22" hidden="1">
      <c r="D376" s="228" t="str">
        <f t="shared" si="105"/>
        <v>4.4.5  Vollsteine (V) - LM21/DM</v>
      </c>
      <c r="F376" s="213" t="s">
        <v>1199</v>
      </c>
      <c r="G376" s="213">
        <v>0.27</v>
      </c>
      <c r="H376" s="228" t="str">
        <f t="shared" si="108"/>
        <v xml:space="preserve">5/10 </v>
      </c>
      <c r="O376" s="324" t="str">
        <f t="shared" si="109"/>
        <v/>
      </c>
      <c r="P376" s="324" t="str">
        <f t="shared" ref="P376:P432" si="113">IF(ISERROR(VALUE((LEFT(B376,1))))=FALSE,B376,"")</f>
        <v/>
      </c>
      <c r="Q376" s="324" t="str">
        <f t="shared" si="110"/>
        <v>4.4.5  Vollsteine (V) - LM21/DM - rho 700  [0,27]</v>
      </c>
      <c r="R376" s="338">
        <f t="shared" si="111"/>
        <v>0.27</v>
      </c>
      <c r="S376" s="339" t="str">
        <f t="shared" si="107"/>
        <v>4.4.5  Vollsteine (V) - LM21/DM</v>
      </c>
      <c r="T376" s="339" t="str">
        <f t="shared" si="100"/>
        <v xml:space="preserve">- rho 700 </v>
      </c>
      <c r="U376" s="339" t="str">
        <f t="shared" si="112"/>
        <v>[0,27]</v>
      </c>
    </row>
    <row r="377" spans="2:22" hidden="1">
      <c r="D377" s="228" t="str">
        <f t="shared" si="105"/>
        <v>4.4.5  Vollsteine (V) - LM21/DM</v>
      </c>
      <c r="F377" s="213" t="s">
        <v>1353</v>
      </c>
      <c r="G377" s="213">
        <v>0.3</v>
      </c>
      <c r="H377" s="228" t="str">
        <f t="shared" si="108"/>
        <v xml:space="preserve">5/10 </v>
      </c>
      <c r="O377" s="324" t="str">
        <f t="shared" si="109"/>
        <v/>
      </c>
      <c r="P377" s="324" t="str">
        <f t="shared" si="113"/>
        <v/>
      </c>
      <c r="Q377" s="324" t="str">
        <f t="shared" si="110"/>
        <v>4.4.5  Vollsteine (V) - LM21/DM - rho 800  [0,3]</v>
      </c>
      <c r="R377" s="338">
        <f t="shared" si="111"/>
        <v>0.3</v>
      </c>
      <c r="S377" s="339" t="str">
        <f t="shared" si="107"/>
        <v>4.4.5  Vollsteine (V) - LM21/DM</v>
      </c>
      <c r="T377" s="339" t="str">
        <f t="shared" si="100"/>
        <v xml:space="preserve">- rho 800 </v>
      </c>
      <c r="U377" s="339" t="str">
        <f t="shared" si="112"/>
        <v>[0,3]</v>
      </c>
    </row>
    <row r="378" spans="2:22" hidden="1">
      <c r="D378" s="228" t="str">
        <f t="shared" si="105"/>
        <v>4.4.5  Vollsteine (V) - LM21/DM</v>
      </c>
      <c r="F378" s="213" t="s">
        <v>1355</v>
      </c>
      <c r="G378" s="213">
        <v>0.33</v>
      </c>
      <c r="H378" s="228" t="str">
        <f t="shared" si="108"/>
        <v xml:space="preserve">5/10 </v>
      </c>
      <c r="O378" s="324" t="str">
        <f t="shared" si="109"/>
        <v/>
      </c>
      <c r="P378" s="324" t="str">
        <f t="shared" si="113"/>
        <v/>
      </c>
      <c r="Q378" s="324" t="str">
        <f t="shared" si="110"/>
        <v>4.4.5  Vollsteine (V) - LM21/DM - rho 900  [0,33]</v>
      </c>
      <c r="R378" s="338">
        <f t="shared" si="111"/>
        <v>0.33</v>
      </c>
      <c r="S378" s="339" t="str">
        <f t="shared" si="107"/>
        <v>4.4.5  Vollsteine (V) - LM21/DM</v>
      </c>
      <c r="T378" s="339" t="str">
        <f t="shared" si="100"/>
        <v xml:space="preserve">- rho 900 </v>
      </c>
      <c r="U378" s="339" t="str">
        <f t="shared" si="112"/>
        <v>[0,33]</v>
      </c>
    </row>
    <row r="379" spans="2:22" hidden="1">
      <c r="D379" s="228" t="str">
        <f t="shared" si="105"/>
        <v>4.4.5  Vollsteine (V) - LM21/DM</v>
      </c>
      <c r="F379" s="213" t="s">
        <v>1376</v>
      </c>
      <c r="G379" s="213">
        <v>0.36</v>
      </c>
      <c r="H379" s="228" t="str">
        <f t="shared" si="108"/>
        <v xml:space="preserve">5/10 </v>
      </c>
      <c r="O379" s="324" t="str">
        <f t="shared" si="109"/>
        <v/>
      </c>
      <c r="P379" s="324" t="str">
        <f t="shared" si="113"/>
        <v/>
      </c>
      <c r="Q379" s="324" t="str">
        <f t="shared" si="110"/>
        <v>4.4.5  Vollsteine (V) - LM21/DM - rho 1000  [0,36]</v>
      </c>
      <c r="R379" s="338">
        <f t="shared" si="111"/>
        <v>0.36</v>
      </c>
      <c r="S379" s="339" t="str">
        <f t="shared" si="107"/>
        <v>4.4.5  Vollsteine (V) - LM21/DM</v>
      </c>
      <c r="T379" s="339" t="str">
        <f t="shared" si="100"/>
        <v xml:space="preserve">- rho 1000 </v>
      </c>
      <c r="U379" s="339" t="str">
        <f t="shared" si="112"/>
        <v>[0,36]</v>
      </c>
    </row>
    <row r="380" spans="2:22" hidden="1">
      <c r="D380" s="213" t="s">
        <v>3327</v>
      </c>
      <c r="F380" s="213" t="s">
        <v>1366</v>
      </c>
      <c r="G380" s="213">
        <v>0.22</v>
      </c>
      <c r="H380" s="213" t="s">
        <v>1365</v>
      </c>
      <c r="I380" s="213" t="s">
        <v>1417</v>
      </c>
      <c r="K380" s="1073"/>
      <c r="O380" s="324" t="str">
        <f t="shared" si="109"/>
        <v/>
      </c>
      <c r="P380" s="324" t="str">
        <f t="shared" si="113"/>
        <v/>
      </c>
      <c r="Q380" s="324" t="str">
        <f t="shared" si="110"/>
        <v>4.4.5  Vollsteine (V) - LM36 - rho 450  [0,22]</v>
      </c>
      <c r="R380" s="338">
        <f t="shared" si="111"/>
        <v>0.22</v>
      </c>
      <c r="S380" s="339" t="str">
        <f t="shared" si="107"/>
        <v>4.4.5  Vollsteine (V) - LM36</v>
      </c>
      <c r="T380" s="339" t="str">
        <f t="shared" si="100"/>
        <v xml:space="preserve">- rho 450 </v>
      </c>
      <c r="U380" s="339" t="str">
        <f t="shared" si="112"/>
        <v>[0,22]</v>
      </c>
    </row>
    <row r="381" spans="2:22" hidden="1">
      <c r="D381" s="228" t="str">
        <f t="shared" si="105"/>
        <v>4.4.5  Vollsteine (V) - LM36</v>
      </c>
      <c r="F381" s="213" t="s">
        <v>1367</v>
      </c>
      <c r="G381" s="213">
        <v>0.23</v>
      </c>
      <c r="H381" s="228" t="str">
        <f t="shared" ref="H381:H388" si="114">H380</f>
        <v xml:space="preserve">5/10 </v>
      </c>
      <c r="O381" s="324" t="str">
        <f t="shared" si="109"/>
        <v/>
      </c>
      <c r="P381" s="324" t="str">
        <f t="shared" si="113"/>
        <v/>
      </c>
      <c r="Q381" s="324" t="str">
        <f t="shared" si="110"/>
        <v>4.4.5  Vollsteine (V) - LM36 - rho 500  [0,23]</v>
      </c>
      <c r="R381" s="338">
        <f t="shared" si="111"/>
        <v>0.23</v>
      </c>
      <c r="S381" s="339" t="str">
        <f t="shared" si="107"/>
        <v>4.4.5  Vollsteine (V) - LM36</v>
      </c>
      <c r="T381" s="339" t="str">
        <f t="shared" si="100"/>
        <v xml:space="preserve">- rho 500 </v>
      </c>
      <c r="U381" s="339" t="str">
        <f t="shared" si="112"/>
        <v>[0,23]</v>
      </c>
    </row>
    <row r="382" spans="2:22" hidden="1">
      <c r="D382" s="228" t="str">
        <f t="shared" si="105"/>
        <v>4.4.5  Vollsteine (V) - LM36</v>
      </c>
      <c r="F382" s="213" t="s">
        <v>1368</v>
      </c>
      <c r="G382" s="213">
        <v>0.25</v>
      </c>
      <c r="H382" s="228" t="str">
        <f t="shared" si="114"/>
        <v xml:space="preserve">5/10 </v>
      </c>
      <c r="O382" s="324" t="str">
        <f t="shared" si="109"/>
        <v/>
      </c>
      <c r="P382" s="324" t="str">
        <f t="shared" si="113"/>
        <v/>
      </c>
      <c r="Q382" s="324" t="str">
        <f t="shared" si="110"/>
        <v>4.4.5  Vollsteine (V) - LM36 - rho 550  [0,25]</v>
      </c>
      <c r="R382" s="338">
        <f t="shared" si="111"/>
        <v>0.25</v>
      </c>
      <c r="S382" s="339" t="str">
        <f t="shared" si="107"/>
        <v>4.4.5  Vollsteine (V) - LM36</v>
      </c>
      <c r="T382" s="339" t="str">
        <f t="shared" si="100"/>
        <v xml:space="preserve">- rho 550 </v>
      </c>
      <c r="U382" s="339" t="str">
        <f t="shared" si="112"/>
        <v>[0,25]</v>
      </c>
    </row>
    <row r="383" spans="2:22" hidden="1">
      <c r="D383" s="228" t="str">
        <f t="shared" si="105"/>
        <v>4.4.5  Vollsteine (V) - LM36</v>
      </c>
      <c r="F383" s="213" t="s">
        <v>1369</v>
      </c>
      <c r="G383" s="213">
        <v>0.26</v>
      </c>
      <c r="H383" s="228" t="str">
        <f t="shared" si="114"/>
        <v xml:space="preserve">5/10 </v>
      </c>
      <c r="O383" s="324" t="str">
        <f t="shared" si="109"/>
        <v/>
      </c>
      <c r="P383" s="324" t="str">
        <f t="shared" si="113"/>
        <v/>
      </c>
      <c r="Q383" s="324" t="str">
        <f t="shared" si="110"/>
        <v>4.4.5  Vollsteine (V) - LM36 - rho 600  [0,26]</v>
      </c>
      <c r="R383" s="338">
        <f t="shared" si="111"/>
        <v>0.26</v>
      </c>
      <c r="S383" s="339" t="str">
        <f t="shared" si="107"/>
        <v>4.4.5  Vollsteine (V) - LM36</v>
      </c>
      <c r="T383" s="339" t="str">
        <f t="shared" si="100"/>
        <v xml:space="preserve">- rho 600 </v>
      </c>
      <c r="U383" s="339" t="str">
        <f t="shared" si="112"/>
        <v>[0,26]</v>
      </c>
    </row>
    <row r="384" spans="2:22" hidden="1">
      <c r="D384" s="228" t="str">
        <f t="shared" si="105"/>
        <v>4.4.5  Vollsteine (V) - LM36</v>
      </c>
      <c r="F384" s="213" t="s">
        <v>1370</v>
      </c>
      <c r="G384" s="213">
        <v>0.27</v>
      </c>
      <c r="H384" s="228" t="str">
        <f t="shared" si="114"/>
        <v xml:space="preserve">5/10 </v>
      </c>
      <c r="O384" s="324" t="str">
        <f t="shared" si="109"/>
        <v/>
      </c>
      <c r="P384" s="324" t="str">
        <f t="shared" si="113"/>
        <v/>
      </c>
      <c r="Q384" s="324" t="str">
        <f t="shared" si="110"/>
        <v>4.4.5  Vollsteine (V) - LM36 - rho 650  [0,27]</v>
      </c>
      <c r="R384" s="338">
        <f t="shared" si="111"/>
        <v>0.27</v>
      </c>
      <c r="S384" s="339" t="str">
        <f t="shared" si="107"/>
        <v>4.4.5  Vollsteine (V) - LM36</v>
      </c>
      <c r="T384" s="339" t="str">
        <f t="shared" si="100"/>
        <v xml:space="preserve">- rho 650 </v>
      </c>
      <c r="U384" s="339" t="str">
        <f t="shared" si="112"/>
        <v>[0,27]</v>
      </c>
    </row>
    <row r="385" spans="4:21" hidden="1">
      <c r="D385" s="228" t="str">
        <f t="shared" si="105"/>
        <v>4.4.5  Vollsteine (V) - LM36</v>
      </c>
      <c r="F385" s="213" t="s">
        <v>1199</v>
      </c>
      <c r="G385" s="213">
        <v>0.28999999999999998</v>
      </c>
      <c r="H385" s="228" t="str">
        <f t="shared" si="114"/>
        <v xml:space="preserve">5/10 </v>
      </c>
      <c r="O385" s="324" t="str">
        <f t="shared" si="109"/>
        <v/>
      </c>
      <c r="P385" s="324" t="str">
        <f t="shared" si="113"/>
        <v/>
      </c>
      <c r="Q385" s="324" t="str">
        <f t="shared" si="110"/>
        <v>4.4.5  Vollsteine (V) - LM36 - rho 700  [0,29]</v>
      </c>
      <c r="R385" s="338">
        <f t="shared" si="111"/>
        <v>0.28999999999999998</v>
      </c>
      <c r="S385" s="339" t="str">
        <f t="shared" si="107"/>
        <v>4.4.5  Vollsteine (V) - LM36</v>
      </c>
      <c r="T385" s="339" t="str">
        <f t="shared" si="100"/>
        <v xml:space="preserve">- rho 700 </v>
      </c>
      <c r="U385" s="339" t="str">
        <f t="shared" si="112"/>
        <v>[0,29]</v>
      </c>
    </row>
    <row r="386" spans="4:21" hidden="1">
      <c r="D386" s="228" t="str">
        <f t="shared" si="105"/>
        <v>4.4.5  Vollsteine (V) - LM36</v>
      </c>
      <c r="F386" s="213" t="s">
        <v>1353</v>
      </c>
      <c r="G386" s="213">
        <v>0.32</v>
      </c>
      <c r="H386" s="228" t="str">
        <f t="shared" si="114"/>
        <v xml:space="preserve">5/10 </v>
      </c>
      <c r="O386" s="324" t="str">
        <f t="shared" si="109"/>
        <v/>
      </c>
      <c r="P386" s="324" t="str">
        <f t="shared" si="113"/>
        <v/>
      </c>
      <c r="Q386" s="324" t="str">
        <f t="shared" si="110"/>
        <v>4.4.5  Vollsteine (V) - LM36 - rho 800  [0,32]</v>
      </c>
      <c r="R386" s="338">
        <f t="shared" si="111"/>
        <v>0.32</v>
      </c>
      <c r="S386" s="339" t="str">
        <f t="shared" si="107"/>
        <v>4.4.5  Vollsteine (V) - LM36</v>
      </c>
      <c r="T386" s="339" t="str">
        <f t="shared" si="100"/>
        <v xml:space="preserve">- rho 800 </v>
      </c>
      <c r="U386" s="339" t="str">
        <f t="shared" si="112"/>
        <v>[0,32]</v>
      </c>
    </row>
    <row r="387" spans="4:21" hidden="1">
      <c r="D387" s="228" t="str">
        <f t="shared" si="105"/>
        <v>4.4.5  Vollsteine (V) - LM36</v>
      </c>
      <c r="F387" s="213" t="s">
        <v>1355</v>
      </c>
      <c r="G387" s="213">
        <v>0.35</v>
      </c>
      <c r="H387" s="228" t="str">
        <f t="shared" si="114"/>
        <v xml:space="preserve">5/10 </v>
      </c>
      <c r="O387" s="324" t="str">
        <f t="shared" si="109"/>
        <v/>
      </c>
      <c r="P387" s="324" t="str">
        <f t="shared" si="113"/>
        <v/>
      </c>
      <c r="Q387" s="324" t="str">
        <f t="shared" si="110"/>
        <v>4.4.5  Vollsteine (V) - LM36 - rho 900  [0,35]</v>
      </c>
      <c r="R387" s="338">
        <f t="shared" si="111"/>
        <v>0.35</v>
      </c>
      <c r="S387" s="339" t="str">
        <f t="shared" si="107"/>
        <v>4.4.5  Vollsteine (V) - LM36</v>
      </c>
      <c r="T387" s="339" t="str">
        <f t="shared" si="100"/>
        <v xml:space="preserve">- rho 900 </v>
      </c>
      <c r="U387" s="339" t="str">
        <f t="shared" si="112"/>
        <v>[0,35]</v>
      </c>
    </row>
    <row r="388" spans="4:21" hidden="1">
      <c r="D388" s="228" t="str">
        <f t="shared" si="105"/>
        <v>4.4.5  Vollsteine (V) - LM36</v>
      </c>
      <c r="F388" s="213" t="s">
        <v>1376</v>
      </c>
      <c r="G388" s="213">
        <v>0.38</v>
      </c>
      <c r="H388" s="228" t="str">
        <f t="shared" si="114"/>
        <v xml:space="preserve">5/10 </v>
      </c>
      <c r="O388" s="324" t="str">
        <f t="shared" si="109"/>
        <v/>
      </c>
      <c r="P388" s="324" t="str">
        <f t="shared" si="113"/>
        <v/>
      </c>
      <c r="Q388" s="324" t="str">
        <f t="shared" si="110"/>
        <v>4.4.5  Vollsteine (V) - LM36 - rho 1000  [0,38]</v>
      </c>
      <c r="R388" s="338">
        <f t="shared" si="111"/>
        <v>0.38</v>
      </c>
      <c r="S388" s="339" t="str">
        <f t="shared" si="107"/>
        <v>4.4.5  Vollsteine (V) - LM36</v>
      </c>
      <c r="T388" s="339" t="str">
        <f t="shared" si="100"/>
        <v xml:space="preserve">- rho 1000 </v>
      </c>
      <c r="U388" s="339" t="str">
        <f t="shared" si="112"/>
        <v>[0,38]</v>
      </c>
    </row>
    <row r="389" spans="4:21" hidden="1">
      <c r="D389" s="213" t="s">
        <v>3328</v>
      </c>
      <c r="F389" s="213" t="s">
        <v>1366</v>
      </c>
      <c r="G389" s="213">
        <v>0.31</v>
      </c>
      <c r="H389" s="213" t="s">
        <v>1365</v>
      </c>
      <c r="I389" s="213" t="s">
        <v>1176</v>
      </c>
      <c r="K389" s="1073"/>
      <c r="O389" s="324" t="str">
        <f t="shared" si="109"/>
        <v/>
      </c>
      <c r="P389" s="324" t="str">
        <f t="shared" si="113"/>
        <v/>
      </c>
      <c r="Q389" s="324" t="str">
        <f t="shared" si="110"/>
        <v>4.4.5  Vollsteine (V) - NM - rho 450  [0,31]</v>
      </c>
      <c r="R389" s="338">
        <f t="shared" si="111"/>
        <v>0.31</v>
      </c>
      <c r="S389" s="339" t="str">
        <f t="shared" si="107"/>
        <v>4.4.5  Vollsteine (V) - NM</v>
      </c>
      <c r="T389" s="339" t="str">
        <f t="shared" si="100"/>
        <v xml:space="preserve">- rho 450 </v>
      </c>
      <c r="U389" s="339" t="str">
        <f t="shared" si="112"/>
        <v>[0,31]</v>
      </c>
    </row>
    <row r="390" spans="4:21" hidden="1">
      <c r="D390" s="228" t="str">
        <f t="shared" si="105"/>
        <v>4.4.5  Vollsteine (V) - NM</v>
      </c>
      <c r="F390" s="213" t="s">
        <v>1367</v>
      </c>
      <c r="G390" s="213">
        <v>0.32</v>
      </c>
      <c r="H390" s="228" t="str">
        <f t="shared" ref="H390:H399" si="115">H389</f>
        <v xml:space="preserve">5/10 </v>
      </c>
      <c r="O390" s="324" t="str">
        <f t="shared" si="109"/>
        <v/>
      </c>
      <c r="P390" s="324" t="str">
        <f t="shared" si="113"/>
        <v/>
      </c>
      <c r="Q390" s="324" t="str">
        <f t="shared" si="110"/>
        <v>4.4.5  Vollsteine (V) - NM - rho 500  [0,32]</v>
      </c>
      <c r="R390" s="338">
        <f t="shared" si="111"/>
        <v>0.32</v>
      </c>
      <c r="S390" s="339" t="str">
        <f t="shared" si="107"/>
        <v>4.4.5  Vollsteine (V) - NM</v>
      </c>
      <c r="T390" s="339" t="str">
        <f t="shared" si="100"/>
        <v xml:space="preserve">- rho 500 </v>
      </c>
      <c r="U390" s="339" t="str">
        <f t="shared" si="112"/>
        <v>[0,32]</v>
      </c>
    </row>
    <row r="391" spans="4:21" hidden="1">
      <c r="D391" s="228" t="str">
        <f t="shared" si="105"/>
        <v>4.4.5  Vollsteine (V) - NM</v>
      </c>
      <c r="F391" s="213" t="s">
        <v>1368</v>
      </c>
      <c r="G391" s="213">
        <v>0.33</v>
      </c>
      <c r="H391" s="228" t="str">
        <f t="shared" si="115"/>
        <v xml:space="preserve">5/10 </v>
      </c>
      <c r="O391" s="324" t="str">
        <f t="shared" si="109"/>
        <v/>
      </c>
      <c r="P391" s="324" t="str">
        <f t="shared" si="113"/>
        <v/>
      </c>
      <c r="Q391" s="324" t="str">
        <f t="shared" si="110"/>
        <v>4.4.5  Vollsteine (V) - NM - rho 550  [0,33]</v>
      </c>
      <c r="R391" s="338">
        <f t="shared" si="111"/>
        <v>0.33</v>
      </c>
      <c r="S391" s="339" t="str">
        <f t="shared" si="107"/>
        <v>4.4.5  Vollsteine (V) - NM</v>
      </c>
      <c r="T391" s="339" t="str">
        <f t="shared" si="100"/>
        <v xml:space="preserve">- rho 550 </v>
      </c>
      <c r="U391" s="339" t="str">
        <f t="shared" si="112"/>
        <v>[0,33]</v>
      </c>
    </row>
    <row r="392" spans="4:21" hidden="1">
      <c r="D392" s="228" t="str">
        <f t="shared" si="105"/>
        <v>4.4.5  Vollsteine (V) - NM</v>
      </c>
      <c r="F392" s="213" t="s">
        <v>1369</v>
      </c>
      <c r="G392" s="213">
        <v>0.34</v>
      </c>
      <c r="H392" s="228" t="str">
        <f t="shared" si="115"/>
        <v xml:space="preserve">5/10 </v>
      </c>
      <c r="O392" s="324" t="str">
        <f t="shared" si="109"/>
        <v/>
      </c>
      <c r="P392" s="324" t="str">
        <f t="shared" si="113"/>
        <v/>
      </c>
      <c r="Q392" s="324" t="str">
        <f t="shared" si="110"/>
        <v>4.4.5  Vollsteine (V) - NM - rho 600  [0,34]</v>
      </c>
      <c r="R392" s="338">
        <f t="shared" si="111"/>
        <v>0.34</v>
      </c>
      <c r="S392" s="339" t="str">
        <f t="shared" si="107"/>
        <v>4.4.5  Vollsteine (V) - NM</v>
      </c>
      <c r="T392" s="339" t="str">
        <f t="shared" si="100"/>
        <v xml:space="preserve">- rho 600 </v>
      </c>
      <c r="U392" s="339" t="str">
        <f t="shared" si="112"/>
        <v>[0,34]</v>
      </c>
    </row>
    <row r="393" spans="4:21" hidden="1">
      <c r="D393" s="228" t="str">
        <f t="shared" si="105"/>
        <v>4.4.5  Vollsteine (V) - NM</v>
      </c>
      <c r="F393" s="213" t="s">
        <v>1370</v>
      </c>
      <c r="G393" s="213">
        <v>0.35</v>
      </c>
      <c r="H393" s="228" t="str">
        <f t="shared" si="115"/>
        <v xml:space="preserve">5/10 </v>
      </c>
      <c r="O393" s="324" t="str">
        <f t="shared" si="109"/>
        <v/>
      </c>
      <c r="P393" s="324" t="str">
        <f t="shared" si="113"/>
        <v/>
      </c>
      <c r="Q393" s="324" t="str">
        <f t="shared" si="110"/>
        <v>4.4.5  Vollsteine (V) - NM - rho 650  [0,35]</v>
      </c>
      <c r="R393" s="338">
        <f t="shared" si="111"/>
        <v>0.35</v>
      </c>
      <c r="S393" s="339" t="str">
        <f t="shared" si="107"/>
        <v>4.4.5  Vollsteine (V) - NM</v>
      </c>
      <c r="T393" s="339" t="str">
        <f t="shared" si="100"/>
        <v xml:space="preserve">- rho 650 </v>
      </c>
      <c r="U393" s="339" t="str">
        <f t="shared" si="112"/>
        <v>[0,35]</v>
      </c>
    </row>
    <row r="394" spans="4:21" hidden="1">
      <c r="D394" s="228" t="str">
        <f t="shared" si="105"/>
        <v>4.4.5  Vollsteine (V) - NM</v>
      </c>
      <c r="F394" s="213" t="s">
        <v>1199</v>
      </c>
      <c r="G394" s="213">
        <v>0.37</v>
      </c>
      <c r="H394" s="228" t="str">
        <f t="shared" si="115"/>
        <v xml:space="preserve">5/10 </v>
      </c>
      <c r="O394" s="324" t="str">
        <f t="shared" si="109"/>
        <v/>
      </c>
      <c r="P394" s="324" t="str">
        <f t="shared" si="113"/>
        <v/>
      </c>
      <c r="Q394" s="324" t="str">
        <f t="shared" si="110"/>
        <v>4.4.5  Vollsteine (V) - NM - rho 700  [0,37]</v>
      </c>
      <c r="R394" s="338">
        <f t="shared" si="111"/>
        <v>0.37</v>
      </c>
      <c r="S394" s="339" t="str">
        <f t="shared" si="107"/>
        <v>4.4.5  Vollsteine (V) - NM</v>
      </c>
      <c r="T394" s="339" t="str">
        <f t="shared" si="100"/>
        <v xml:space="preserve">- rho 700 </v>
      </c>
      <c r="U394" s="339" t="str">
        <f t="shared" si="112"/>
        <v>[0,37]</v>
      </c>
    </row>
    <row r="395" spans="4:21" hidden="1">
      <c r="D395" s="228" t="str">
        <f t="shared" si="105"/>
        <v>4.4.5  Vollsteine (V) - NM</v>
      </c>
      <c r="F395" s="213" t="s">
        <v>1353</v>
      </c>
      <c r="G395" s="213">
        <v>0.4</v>
      </c>
      <c r="H395" s="228" t="str">
        <f t="shared" si="115"/>
        <v xml:space="preserve">5/10 </v>
      </c>
      <c r="O395" s="324" t="str">
        <f t="shared" si="109"/>
        <v/>
      </c>
      <c r="P395" s="324" t="str">
        <f t="shared" si="113"/>
        <v/>
      </c>
      <c r="Q395" s="324" t="str">
        <f t="shared" si="110"/>
        <v>4.4.5  Vollsteine (V) - NM - rho 800  [0,4]</v>
      </c>
      <c r="R395" s="338">
        <f t="shared" si="111"/>
        <v>0.4</v>
      </c>
      <c r="S395" s="339" t="str">
        <f t="shared" si="107"/>
        <v>4.4.5  Vollsteine (V) - NM</v>
      </c>
      <c r="T395" s="339" t="str">
        <f t="shared" si="100"/>
        <v xml:space="preserve">- rho 800 </v>
      </c>
      <c r="U395" s="339" t="str">
        <f t="shared" si="112"/>
        <v>[0,4]</v>
      </c>
    </row>
    <row r="396" spans="4:21" hidden="1">
      <c r="D396" s="228" t="str">
        <f t="shared" si="105"/>
        <v>4.4.5  Vollsteine (V) - NM</v>
      </c>
      <c r="F396" s="213" t="s">
        <v>1355</v>
      </c>
      <c r="G396" s="213">
        <v>0.43</v>
      </c>
      <c r="H396" s="228" t="str">
        <f t="shared" si="115"/>
        <v xml:space="preserve">5/10 </v>
      </c>
      <c r="O396" s="324" t="str">
        <f t="shared" si="109"/>
        <v/>
      </c>
      <c r="P396" s="324" t="str">
        <f t="shared" si="113"/>
        <v/>
      </c>
      <c r="Q396" s="324" t="str">
        <f t="shared" si="110"/>
        <v>4.4.5  Vollsteine (V) - NM - rho 900  [0,43]</v>
      </c>
      <c r="R396" s="338">
        <f t="shared" si="111"/>
        <v>0.43</v>
      </c>
      <c r="S396" s="339" t="str">
        <f t="shared" si="107"/>
        <v>4.4.5  Vollsteine (V) - NM</v>
      </c>
      <c r="T396" s="339" t="str">
        <f t="shared" si="100"/>
        <v xml:space="preserve">- rho 900 </v>
      </c>
      <c r="U396" s="339" t="str">
        <f t="shared" si="112"/>
        <v>[0,43]</v>
      </c>
    </row>
    <row r="397" spans="4:21" hidden="1">
      <c r="D397" s="228" t="str">
        <f t="shared" si="105"/>
        <v>4.4.5  Vollsteine (V) - NM</v>
      </c>
      <c r="F397" s="213" t="s">
        <v>1376</v>
      </c>
      <c r="G397" s="213">
        <v>0.46</v>
      </c>
      <c r="H397" s="228" t="str">
        <f t="shared" si="115"/>
        <v xml:space="preserve">5/10 </v>
      </c>
      <c r="O397" s="324" t="str">
        <f t="shared" si="109"/>
        <v/>
      </c>
      <c r="P397" s="324" t="str">
        <f t="shared" si="113"/>
        <v/>
      </c>
      <c r="Q397" s="324" t="str">
        <f t="shared" si="110"/>
        <v>4.4.5  Vollsteine (V) - NM - rho 1000  [0,46]</v>
      </c>
      <c r="R397" s="338">
        <f t="shared" si="111"/>
        <v>0.46</v>
      </c>
      <c r="S397" s="339" t="str">
        <f t="shared" si="107"/>
        <v>4.4.5  Vollsteine (V) - NM</v>
      </c>
      <c r="T397" s="339" t="str">
        <f t="shared" si="100"/>
        <v xml:space="preserve">- rho 1000 </v>
      </c>
      <c r="U397" s="339" t="str">
        <f t="shared" si="112"/>
        <v>[0,46]</v>
      </c>
    </row>
    <row r="398" spans="4:21" hidden="1">
      <c r="D398" s="228" t="str">
        <f t="shared" si="105"/>
        <v>4.4.5  Vollsteine (V) - NM</v>
      </c>
      <c r="F398" s="213" t="s">
        <v>1377</v>
      </c>
      <c r="G398" s="213">
        <v>0.54</v>
      </c>
      <c r="H398" s="228" t="str">
        <f t="shared" si="115"/>
        <v xml:space="preserve">5/10 </v>
      </c>
      <c r="O398" s="324" t="str">
        <f t="shared" si="109"/>
        <v/>
      </c>
      <c r="P398" s="324" t="str">
        <f t="shared" si="113"/>
        <v/>
      </c>
      <c r="Q398" s="324" t="str">
        <f t="shared" si="110"/>
        <v>4.4.5  Vollsteine (V) - NM - rho 1200  [0,54]</v>
      </c>
      <c r="R398" s="338">
        <f t="shared" si="111"/>
        <v>0.54</v>
      </c>
      <c r="S398" s="339" t="str">
        <f t="shared" si="107"/>
        <v>4.4.5  Vollsteine (V) - NM</v>
      </c>
      <c r="T398" s="339" t="str">
        <f t="shared" si="100"/>
        <v xml:space="preserve">- rho 1200 </v>
      </c>
      <c r="U398" s="339" t="str">
        <f t="shared" si="112"/>
        <v>[0,54]</v>
      </c>
    </row>
    <row r="399" spans="4:21" hidden="1">
      <c r="D399" s="228" t="str">
        <f t="shared" si="105"/>
        <v>4.4.5  Vollsteine (V) - NM</v>
      </c>
      <c r="F399" s="213" t="s">
        <v>1378</v>
      </c>
      <c r="G399" s="213">
        <v>0.63</v>
      </c>
      <c r="H399" s="228" t="str">
        <f t="shared" si="115"/>
        <v xml:space="preserve">5/10 </v>
      </c>
      <c r="O399" s="324" t="str">
        <f t="shared" si="109"/>
        <v/>
      </c>
      <c r="P399" s="324" t="str">
        <f t="shared" si="113"/>
        <v/>
      </c>
      <c r="Q399" s="324" t="str">
        <f t="shared" si="110"/>
        <v>4.4.5  Vollsteine (V) - NM - rho 1400  [0,63]</v>
      </c>
      <c r="R399" s="338">
        <f t="shared" si="111"/>
        <v>0.63</v>
      </c>
      <c r="S399" s="339" t="str">
        <f t="shared" si="107"/>
        <v>4.4.5  Vollsteine (V) - NM</v>
      </c>
      <c r="T399" s="339" t="str">
        <f t="shared" si="100"/>
        <v xml:space="preserve">- rho 1400 </v>
      </c>
      <c r="U399" s="339" t="str">
        <f t="shared" si="112"/>
        <v>[0,63]</v>
      </c>
    </row>
    <row r="400" spans="4:21" hidden="1">
      <c r="D400" s="228" t="str">
        <f t="shared" si="105"/>
        <v>4.4.5  Vollsteine (V) - NM</v>
      </c>
      <c r="F400" s="213" t="s">
        <v>1379</v>
      </c>
      <c r="G400" s="213">
        <v>0.74</v>
      </c>
      <c r="H400" s="1125" t="s">
        <v>1420</v>
      </c>
      <c r="O400" s="324" t="str">
        <f t="shared" si="109"/>
        <v/>
      </c>
      <c r="P400" s="324" t="str">
        <f t="shared" si="113"/>
        <v/>
      </c>
      <c r="Q400" s="324" t="str">
        <f t="shared" si="110"/>
        <v>4.4.5  Vollsteine (V) - NM - rho 1600  [0,74]</v>
      </c>
      <c r="R400" s="338">
        <f t="shared" si="111"/>
        <v>0.74</v>
      </c>
      <c r="S400" s="339" t="str">
        <f t="shared" si="107"/>
        <v>4.4.5  Vollsteine (V) - NM</v>
      </c>
      <c r="T400" s="339" t="str">
        <f t="shared" si="100"/>
        <v xml:space="preserve">- rho 1600 </v>
      </c>
      <c r="U400" s="339" t="str">
        <f t="shared" si="112"/>
        <v>[0,74]</v>
      </c>
    </row>
    <row r="401" spans="1:21" hidden="1">
      <c r="D401" s="228" t="str">
        <f t="shared" si="105"/>
        <v>4.4.5  Vollsteine (V) - NM</v>
      </c>
      <c r="F401" s="213" t="s">
        <v>1401</v>
      </c>
      <c r="G401" s="213">
        <v>0.87</v>
      </c>
      <c r="H401" s="228" t="str">
        <f t="shared" ref="H401:H402" si="116">H400</f>
        <v>10/15</v>
      </c>
      <c r="O401" s="324" t="str">
        <f t="shared" si="109"/>
        <v/>
      </c>
      <c r="P401" s="324" t="str">
        <f t="shared" si="113"/>
        <v/>
      </c>
      <c r="Q401" s="324" t="str">
        <f t="shared" si="110"/>
        <v>4.4.5  Vollsteine (V) - NM - rho 1800  [0,87]</v>
      </c>
      <c r="R401" s="338">
        <f t="shared" si="111"/>
        <v>0.87</v>
      </c>
      <c r="S401" s="339" t="str">
        <f t="shared" si="107"/>
        <v>4.4.5  Vollsteine (V) - NM</v>
      </c>
      <c r="T401" s="339" t="str">
        <f t="shared" si="100"/>
        <v xml:space="preserve">- rho 1800 </v>
      </c>
      <c r="U401" s="339" t="str">
        <f t="shared" si="112"/>
        <v>[0,87]</v>
      </c>
    </row>
    <row r="402" spans="1:21" hidden="1">
      <c r="D402" s="228" t="str">
        <f t="shared" si="105"/>
        <v>4.4.5  Vollsteine (V) - NM</v>
      </c>
      <c r="F402" s="213" t="s">
        <v>1403</v>
      </c>
      <c r="G402" s="213">
        <v>0.99</v>
      </c>
      <c r="H402" s="228" t="str">
        <f t="shared" si="116"/>
        <v>10/15</v>
      </c>
      <c r="O402" s="324" t="str">
        <f t="shared" si="109"/>
        <v/>
      </c>
      <c r="P402" s="324" t="str">
        <f t="shared" si="113"/>
        <v/>
      </c>
      <c r="Q402" s="324" t="str">
        <f t="shared" si="110"/>
        <v>4.4.5  Vollsteine (V) - NM - rho 2000  [0,99]</v>
      </c>
      <c r="R402" s="338">
        <f t="shared" si="111"/>
        <v>0.99</v>
      </c>
      <c r="S402" s="339" t="str">
        <f t="shared" si="107"/>
        <v>4.4.5  Vollsteine (V) - NM</v>
      </c>
      <c r="T402" s="339" t="str">
        <f t="shared" si="100"/>
        <v xml:space="preserve">- rho 2000 </v>
      </c>
      <c r="U402" s="339" t="str">
        <f t="shared" si="112"/>
        <v>[0,99]</v>
      </c>
    </row>
    <row r="403" spans="1:21" hidden="1">
      <c r="B403" s="213" t="s">
        <v>3329</v>
      </c>
      <c r="D403" s="213" t="s">
        <v>3329</v>
      </c>
      <c r="F403" s="213" t="s">
        <v>1353</v>
      </c>
      <c r="G403" s="213">
        <v>0.6</v>
      </c>
      <c r="H403" s="213" t="s">
        <v>1375</v>
      </c>
      <c r="K403" s="1073"/>
      <c r="O403" s="324" t="str">
        <f t="shared" si="109"/>
        <v/>
      </c>
      <c r="P403" s="324" t="str">
        <f t="shared" si="113"/>
        <v>4.4.6  Mauersteine aus Beton</v>
      </c>
      <c r="Q403" s="324" t="str">
        <f t="shared" si="110"/>
        <v>4.4.6  Mauersteine aus Beton - rho 800  [0,6]</v>
      </c>
      <c r="R403" s="338">
        <f t="shared" si="111"/>
        <v>0.6</v>
      </c>
      <c r="S403" s="339" t="str">
        <f t="shared" ref="S403:S427" si="117">D403</f>
        <v>4.4.6  Mauersteine aus Beton</v>
      </c>
      <c r="T403" s="339" t="str">
        <f t="shared" ref="T403:T412" si="118" xml:space="preserve"> "- rho "&amp;F403</f>
        <v xml:space="preserve">- rho 800 </v>
      </c>
      <c r="U403" s="339" t="str">
        <f t="shared" si="112"/>
        <v>[0,6]</v>
      </c>
    </row>
    <row r="404" spans="1:21" ht="12" hidden="1" customHeight="1">
      <c r="B404" s="1271" t="s">
        <v>1423</v>
      </c>
      <c r="C404" s="1271"/>
      <c r="D404" s="228" t="str">
        <f t="shared" si="105"/>
        <v>4.4.6  Mauersteine aus Beton</v>
      </c>
      <c r="F404" s="213" t="s">
        <v>1355</v>
      </c>
      <c r="G404" s="213">
        <v>0.65</v>
      </c>
      <c r="H404" s="228" t="str">
        <f t="shared" ref="H404:H406" si="119">H403</f>
        <v xml:space="preserve">5/15 </v>
      </c>
      <c r="O404" s="324" t="str">
        <f t="shared" si="109"/>
        <v/>
      </c>
      <c r="P404" s="324" t="str">
        <f t="shared" si="113"/>
        <v/>
      </c>
      <c r="Q404" s="324" t="str">
        <f t="shared" si="110"/>
        <v>4.4.6  Mauersteine aus Beton - rho 900  [0,65]</v>
      </c>
      <c r="R404" s="338">
        <f t="shared" si="111"/>
        <v>0.65</v>
      </c>
      <c r="S404" s="339" t="str">
        <f t="shared" si="117"/>
        <v>4.4.6  Mauersteine aus Beton</v>
      </c>
      <c r="T404" s="339" t="str">
        <f t="shared" si="118"/>
        <v xml:space="preserve">- rho 900 </v>
      </c>
      <c r="U404" s="339" t="str">
        <f t="shared" si="112"/>
        <v>[0,65]</v>
      </c>
    </row>
    <row r="405" spans="1:21" hidden="1">
      <c r="B405" s="1271"/>
      <c r="C405" s="1271"/>
      <c r="D405" s="228" t="str">
        <f t="shared" si="105"/>
        <v>4.4.6  Mauersteine aus Beton</v>
      </c>
      <c r="F405" s="213" t="s">
        <v>1376</v>
      </c>
      <c r="G405" s="213">
        <v>0.7</v>
      </c>
      <c r="H405" s="228" t="str">
        <f t="shared" si="119"/>
        <v xml:space="preserve">5/15 </v>
      </c>
      <c r="O405" s="324" t="str">
        <f t="shared" si="109"/>
        <v/>
      </c>
      <c r="P405" s="324" t="str">
        <f t="shared" si="113"/>
        <v/>
      </c>
      <c r="Q405" s="324" t="str">
        <f t="shared" si="110"/>
        <v>4.4.6  Mauersteine aus Beton - rho 1000  [0,7]</v>
      </c>
      <c r="R405" s="338">
        <f t="shared" si="111"/>
        <v>0.7</v>
      </c>
      <c r="S405" s="339" t="str">
        <f t="shared" si="117"/>
        <v>4.4.6  Mauersteine aus Beton</v>
      </c>
      <c r="T405" s="339" t="str">
        <f t="shared" si="118"/>
        <v xml:space="preserve">- rho 1000 </v>
      </c>
      <c r="U405" s="339" t="str">
        <f t="shared" si="112"/>
        <v>[0,7]</v>
      </c>
    </row>
    <row r="406" spans="1:21" hidden="1">
      <c r="B406" s="1271"/>
      <c r="C406" s="1271"/>
      <c r="D406" s="228" t="str">
        <f t="shared" si="105"/>
        <v>4.4.6  Mauersteine aus Beton</v>
      </c>
      <c r="F406" s="213" t="s">
        <v>1377</v>
      </c>
      <c r="G406" s="213">
        <v>0.8</v>
      </c>
      <c r="H406" s="228" t="str">
        <f t="shared" si="119"/>
        <v xml:space="preserve">5/15 </v>
      </c>
      <c r="O406" s="324" t="str">
        <f t="shared" si="109"/>
        <v/>
      </c>
      <c r="P406" s="324" t="str">
        <f t="shared" si="113"/>
        <v/>
      </c>
      <c r="Q406" s="324" t="str">
        <f t="shared" si="110"/>
        <v>4.4.6  Mauersteine aus Beton - rho 1200  [0,8]</v>
      </c>
      <c r="R406" s="338">
        <f t="shared" si="111"/>
        <v>0.8</v>
      </c>
      <c r="S406" s="339" t="str">
        <f t="shared" si="117"/>
        <v>4.4.6  Mauersteine aus Beton</v>
      </c>
      <c r="T406" s="339" t="str">
        <f t="shared" si="118"/>
        <v xml:space="preserve">- rho 1200 </v>
      </c>
      <c r="U406" s="339" t="str">
        <f t="shared" si="112"/>
        <v>[0,8]</v>
      </c>
    </row>
    <row r="407" spans="1:21" hidden="1">
      <c r="B407" s="1271"/>
      <c r="C407" s="1271"/>
      <c r="D407" s="228" t="str">
        <f t="shared" si="105"/>
        <v>4.4.6  Mauersteine aus Beton</v>
      </c>
      <c r="F407" s="213" t="s">
        <v>1378</v>
      </c>
      <c r="G407" s="213">
        <v>0.9</v>
      </c>
      <c r="H407" s="213" t="s">
        <v>1424</v>
      </c>
      <c r="O407" s="324" t="str">
        <f t="shared" si="109"/>
        <v/>
      </c>
      <c r="P407" s="324" t="str">
        <f t="shared" si="113"/>
        <v/>
      </c>
      <c r="Q407" s="324" t="str">
        <f t="shared" si="110"/>
        <v>4.4.6  Mauersteine aus Beton - rho 1400  [0,9]</v>
      </c>
      <c r="R407" s="338">
        <f t="shared" si="111"/>
        <v>0.9</v>
      </c>
      <c r="S407" s="339" t="str">
        <f t="shared" si="117"/>
        <v>4.4.6  Mauersteine aus Beton</v>
      </c>
      <c r="T407" s="339" t="str">
        <f t="shared" si="118"/>
        <v xml:space="preserve">- rho 1400 </v>
      </c>
      <c r="U407" s="339" t="str">
        <f t="shared" si="112"/>
        <v>[0,9]</v>
      </c>
    </row>
    <row r="408" spans="1:21" hidden="1">
      <c r="B408" s="1271"/>
      <c r="C408" s="1271"/>
      <c r="D408" s="228" t="str">
        <f t="shared" si="105"/>
        <v>4.4.6  Mauersteine aus Beton</v>
      </c>
      <c r="F408" s="213" t="s">
        <v>1379</v>
      </c>
      <c r="G408" s="213">
        <v>1</v>
      </c>
      <c r="H408" s="228" t="str">
        <f t="shared" ref="H408:H412" si="120">H407</f>
        <v xml:space="preserve">20/30 </v>
      </c>
      <c r="O408" s="324" t="str">
        <f t="shared" si="109"/>
        <v/>
      </c>
      <c r="P408" s="324" t="str">
        <f t="shared" si="113"/>
        <v/>
      </c>
      <c r="Q408" s="324" t="str">
        <f t="shared" si="110"/>
        <v>4.4.6  Mauersteine aus Beton - rho 1600  [1]</v>
      </c>
      <c r="R408" s="338">
        <f t="shared" si="111"/>
        <v>1</v>
      </c>
      <c r="S408" s="339" t="str">
        <f t="shared" si="117"/>
        <v>4.4.6  Mauersteine aus Beton</v>
      </c>
      <c r="T408" s="339" t="str">
        <f t="shared" si="118"/>
        <v xml:space="preserve">- rho 1600 </v>
      </c>
      <c r="U408" s="339" t="str">
        <f t="shared" si="112"/>
        <v>[1]</v>
      </c>
    </row>
    <row r="409" spans="1:21" hidden="1">
      <c r="D409" s="228" t="str">
        <f t="shared" si="105"/>
        <v>4.4.6  Mauersteine aus Beton</v>
      </c>
      <c r="F409" s="213" t="s">
        <v>1401</v>
      </c>
      <c r="G409" s="213">
        <v>1.1000000000000001</v>
      </c>
      <c r="H409" s="228" t="str">
        <f t="shared" si="120"/>
        <v xml:space="preserve">20/30 </v>
      </c>
      <c r="O409" s="324" t="str">
        <f t="shared" si="109"/>
        <v/>
      </c>
      <c r="P409" s="324" t="str">
        <f t="shared" si="113"/>
        <v/>
      </c>
      <c r="Q409" s="324" t="str">
        <f t="shared" si="110"/>
        <v>4.4.6  Mauersteine aus Beton - rho 1800  [1,1]</v>
      </c>
      <c r="R409" s="338">
        <f t="shared" si="111"/>
        <v>1.1000000000000001</v>
      </c>
      <c r="S409" s="339" t="str">
        <f t="shared" si="117"/>
        <v>4.4.6  Mauersteine aus Beton</v>
      </c>
      <c r="T409" s="339" t="str">
        <f t="shared" si="118"/>
        <v xml:space="preserve">- rho 1800 </v>
      </c>
      <c r="U409" s="339" t="str">
        <f t="shared" si="112"/>
        <v>[1,1]</v>
      </c>
    </row>
    <row r="410" spans="1:21" hidden="1">
      <c r="D410" s="228" t="str">
        <f t="shared" si="105"/>
        <v>4.4.6  Mauersteine aus Beton</v>
      </c>
      <c r="F410" s="213" t="s">
        <v>1403</v>
      </c>
      <c r="G410" s="213">
        <v>1.3</v>
      </c>
      <c r="H410" s="228" t="str">
        <f t="shared" si="120"/>
        <v xml:space="preserve">20/30 </v>
      </c>
      <c r="O410" s="324" t="str">
        <f t="shared" si="109"/>
        <v/>
      </c>
      <c r="P410" s="324" t="str">
        <f t="shared" si="113"/>
        <v/>
      </c>
      <c r="Q410" s="324" t="str">
        <f t="shared" si="110"/>
        <v>4.4.6  Mauersteine aus Beton - rho 2000  [1,3]</v>
      </c>
      <c r="R410" s="338">
        <f t="shared" si="111"/>
        <v>1.3</v>
      </c>
      <c r="S410" s="339" t="str">
        <f t="shared" si="117"/>
        <v>4.4.6  Mauersteine aus Beton</v>
      </c>
      <c r="T410" s="339" t="str">
        <f t="shared" si="118"/>
        <v xml:space="preserve">- rho 2000 </v>
      </c>
      <c r="U410" s="339" t="str">
        <f t="shared" si="112"/>
        <v>[1,3]</v>
      </c>
    </row>
    <row r="411" spans="1:21" hidden="1">
      <c r="D411" s="228" t="str">
        <f t="shared" si="105"/>
        <v>4.4.6  Mauersteine aus Beton</v>
      </c>
      <c r="F411" s="213" t="s">
        <v>1404</v>
      </c>
      <c r="G411" s="213">
        <v>1.6</v>
      </c>
      <c r="H411" s="228" t="str">
        <f t="shared" si="120"/>
        <v xml:space="preserve">20/30 </v>
      </c>
      <c r="O411" s="324" t="str">
        <f t="shared" si="109"/>
        <v/>
      </c>
      <c r="P411" s="324" t="str">
        <f t="shared" si="113"/>
        <v/>
      </c>
      <c r="Q411" s="324" t="str">
        <f t="shared" si="110"/>
        <v>4.4.6  Mauersteine aus Beton - rho 2200  [1,6]</v>
      </c>
      <c r="R411" s="338">
        <f t="shared" si="111"/>
        <v>1.6</v>
      </c>
      <c r="S411" s="339" t="str">
        <f t="shared" si="117"/>
        <v>4.4.6  Mauersteine aus Beton</v>
      </c>
      <c r="T411" s="339" t="str">
        <f t="shared" si="118"/>
        <v xml:space="preserve">- rho 2200 </v>
      </c>
      <c r="U411" s="339" t="str">
        <f t="shared" si="112"/>
        <v>[1,6]</v>
      </c>
    </row>
    <row r="412" spans="1:21" hidden="1">
      <c r="D412" s="228" t="str">
        <f t="shared" si="105"/>
        <v>4.4.6  Mauersteine aus Beton</v>
      </c>
      <c r="F412" s="213" t="s">
        <v>1405</v>
      </c>
      <c r="G412" s="213">
        <v>2</v>
      </c>
      <c r="H412" s="228" t="str">
        <f t="shared" si="120"/>
        <v xml:space="preserve">20/30 </v>
      </c>
      <c r="O412" s="324" t="str">
        <f t="shared" si="109"/>
        <v/>
      </c>
      <c r="P412" s="324" t="str">
        <f t="shared" si="113"/>
        <v/>
      </c>
      <c r="Q412" s="324" t="str">
        <f t="shared" si="110"/>
        <v>4.4.6  Mauersteine aus Beton - rho 2400  [2]</v>
      </c>
      <c r="R412" s="338">
        <f t="shared" si="111"/>
        <v>2</v>
      </c>
      <c r="S412" s="339" t="str">
        <f t="shared" si="117"/>
        <v>4.4.6  Mauersteine aus Beton</v>
      </c>
      <c r="T412" s="339" t="str">
        <f t="shared" si="118"/>
        <v xml:space="preserve">- rho 2400 </v>
      </c>
      <c r="U412" s="339" t="str">
        <f t="shared" si="112"/>
        <v>[2]</v>
      </c>
    </row>
    <row r="413" spans="1:21" hidden="1">
      <c r="A413" s="214" t="s">
        <v>1725</v>
      </c>
      <c r="B413" s="186" t="s">
        <v>3330</v>
      </c>
      <c r="C413" s="186"/>
      <c r="D413" s="228"/>
      <c r="O413" s="324" t="str">
        <f t="shared" si="109"/>
        <v>5 Wärmedämmstoffe</v>
      </c>
      <c r="P413" s="324" t="str">
        <f t="shared" si="113"/>
        <v/>
      </c>
      <c r="Q413" s="324" t="str">
        <f t="shared" si="110"/>
        <v/>
      </c>
      <c r="R413" s="338">
        <f t="shared" si="111"/>
        <v>0</v>
      </c>
      <c r="S413" s="339">
        <f t="shared" si="117"/>
        <v>0</v>
      </c>
      <c r="T413" s="339"/>
      <c r="U413" s="339" t="str">
        <f t="shared" si="112"/>
        <v/>
      </c>
    </row>
    <row r="414" spans="1:21" hidden="1">
      <c r="A414" s="214" t="s">
        <v>1724</v>
      </c>
      <c r="B414" s="186" t="s">
        <v>828</v>
      </c>
      <c r="C414" s="186"/>
      <c r="D414" s="228"/>
      <c r="O414" s="324" t="str">
        <f t="shared" si="109"/>
        <v xml:space="preserve">6 Holz- und Holzwerkstoffe </v>
      </c>
      <c r="P414" s="324" t="str">
        <f t="shared" si="113"/>
        <v/>
      </c>
      <c r="Q414" s="324" t="str">
        <f t="shared" si="110"/>
        <v/>
      </c>
      <c r="R414" s="338">
        <f t="shared" si="111"/>
        <v>0</v>
      </c>
      <c r="S414" s="339">
        <f t="shared" si="117"/>
        <v>0</v>
      </c>
      <c r="T414" s="339"/>
      <c r="U414" s="339" t="str">
        <f t="shared" si="112"/>
        <v/>
      </c>
    </row>
    <row r="415" spans="1:21" hidden="1">
      <c r="A415" s="214" t="s">
        <v>1726</v>
      </c>
      <c r="B415" s="213" t="s">
        <v>830</v>
      </c>
      <c r="D415" s="186" t="s">
        <v>828</v>
      </c>
      <c r="O415" s="324" t="str">
        <f t="shared" si="109"/>
        <v>7 Belag, Dichtung</v>
      </c>
      <c r="P415" s="324" t="str">
        <f t="shared" si="113"/>
        <v xml:space="preserve">7.1  Fußbodenbeläge </v>
      </c>
      <c r="Q415" s="324" t="str">
        <f t="shared" si="110"/>
        <v xml:space="preserve">Siehe DIN EN ISO 10456 </v>
      </c>
      <c r="R415" s="338">
        <f t="shared" si="111"/>
        <v>0</v>
      </c>
      <c r="S415" s="339" t="str">
        <f t="shared" si="117"/>
        <v xml:space="preserve">Siehe DIN EN ISO 10456 </v>
      </c>
      <c r="T415" s="339"/>
      <c r="U415" s="339" t="str">
        <f t="shared" si="112"/>
        <v/>
      </c>
    </row>
    <row r="416" spans="1:21" hidden="1">
      <c r="B416" s="213" t="s">
        <v>831</v>
      </c>
      <c r="D416" s="186" t="s">
        <v>828</v>
      </c>
      <c r="O416" s="324" t="str">
        <f t="shared" si="109"/>
        <v/>
      </c>
      <c r="P416" s="324" t="str">
        <f t="shared" si="113"/>
        <v xml:space="preserve">7.2  Abdichtstoffe </v>
      </c>
      <c r="Q416" s="324" t="str">
        <f t="shared" si="110"/>
        <v xml:space="preserve">Siehe DIN EN ISO 10456 </v>
      </c>
      <c r="R416" s="338">
        <f t="shared" si="111"/>
        <v>0</v>
      </c>
      <c r="S416" s="339" t="str">
        <f t="shared" si="117"/>
        <v xml:space="preserve">Siehe DIN EN ISO 10456 </v>
      </c>
      <c r="T416" s="339"/>
      <c r="U416" s="339" t="str">
        <f t="shared" si="112"/>
        <v/>
      </c>
    </row>
    <row r="417" spans="1:21" hidden="1">
      <c r="B417" s="213" t="s">
        <v>832</v>
      </c>
      <c r="D417" s="213" t="s">
        <v>832</v>
      </c>
      <c r="F417" s="213" t="s">
        <v>1195</v>
      </c>
      <c r="G417" s="213">
        <v>0.7</v>
      </c>
      <c r="I417" s="213" t="s">
        <v>1086</v>
      </c>
      <c r="O417" s="324" t="str">
        <f t="shared" si="109"/>
        <v/>
      </c>
      <c r="P417" s="324" t="str">
        <f t="shared" si="113"/>
        <v xml:space="preserve">7.2.1  Asphaltmastix, Dicke d ≥ 7 mm </v>
      </c>
      <c r="Q417" s="324" t="str">
        <f t="shared" si="110"/>
        <v>7.2.1  Asphaltmastix, Dicke d ≥ 7 mm  [0,7]</v>
      </c>
      <c r="R417" s="338">
        <f t="shared" si="111"/>
        <v>0.7</v>
      </c>
      <c r="S417" s="339" t="str">
        <f t="shared" si="117"/>
        <v xml:space="preserve">7.2.1  Asphaltmastix, Dicke d ≥ 7 mm </v>
      </c>
      <c r="T417" s="339"/>
      <c r="U417" s="339" t="str">
        <f t="shared" si="112"/>
        <v>[0,7]</v>
      </c>
    </row>
    <row r="418" spans="1:21" hidden="1">
      <c r="B418" s="213" t="s">
        <v>1429</v>
      </c>
      <c r="D418" s="213" t="s">
        <v>833</v>
      </c>
      <c r="F418" s="213" t="s">
        <v>1425</v>
      </c>
      <c r="G418" s="213">
        <v>0.17</v>
      </c>
      <c r="H418" s="213" t="s">
        <v>1426</v>
      </c>
      <c r="O418" s="324" t="str">
        <f t="shared" si="109"/>
        <v/>
      </c>
      <c r="P418" s="324" t="str">
        <f t="shared" si="113"/>
        <v>7.3  Dachbahnen</v>
      </c>
      <c r="Q418" s="324" t="str">
        <f t="shared" si="110"/>
        <v>7.3.1  Bitumenbahnen nach DIN EN 13707  [0,17]</v>
      </c>
      <c r="R418" s="338">
        <f t="shared" si="111"/>
        <v>0.17</v>
      </c>
      <c r="S418" s="339" t="str">
        <f t="shared" si="117"/>
        <v xml:space="preserve">7.3.1  Bitumenbahnen nach DIN EN 13707 </v>
      </c>
      <c r="T418" s="339"/>
      <c r="U418" s="339" t="str">
        <f t="shared" si="112"/>
        <v>[0,17]</v>
      </c>
    </row>
    <row r="419" spans="1:21" ht="12" hidden="1" customHeight="1">
      <c r="B419" s="922" t="s">
        <v>1428</v>
      </c>
      <c r="C419" s="1113"/>
      <c r="D419" s="213" t="s">
        <v>834</v>
      </c>
      <c r="F419" s="213" t="s">
        <v>1425</v>
      </c>
      <c r="G419" s="213">
        <v>0.17</v>
      </c>
      <c r="H419" s="213" t="s">
        <v>1427</v>
      </c>
      <c r="K419" s="1073"/>
      <c r="O419" s="324" t="str">
        <f t="shared" si="109"/>
        <v/>
      </c>
      <c r="P419" s="324" t="str">
        <f t="shared" si="113"/>
        <v/>
      </c>
      <c r="Q419" s="324" t="str">
        <f t="shared" si="110"/>
        <v>7.3.2  Nackte Bitumenbahnen nach DIN 52129  [0,17]</v>
      </c>
      <c r="R419" s="338">
        <f t="shared" si="111"/>
        <v>0.17</v>
      </c>
      <c r="S419" s="339" t="str">
        <f t="shared" si="117"/>
        <v xml:space="preserve">7.3.2  Nackte Bitumenbahnen nach DIN 52129 </v>
      </c>
      <c r="T419" s="339"/>
      <c r="U419" s="339" t="str">
        <f t="shared" si="112"/>
        <v>[0,17]</v>
      </c>
    </row>
    <row r="420" spans="1:21" hidden="1">
      <c r="B420" s="213" t="s">
        <v>1430</v>
      </c>
      <c r="D420" s="215" t="s">
        <v>836</v>
      </c>
      <c r="F420" s="213" t="s">
        <v>835</v>
      </c>
      <c r="G420" s="213" t="s">
        <v>367</v>
      </c>
      <c r="H420" s="213" t="s">
        <v>1431</v>
      </c>
      <c r="O420" s="324" t="str">
        <f t="shared" si="109"/>
        <v/>
      </c>
      <c r="P420" s="324" t="str">
        <f t="shared" si="113"/>
        <v>7.4  Folien</v>
      </c>
      <c r="Q420" s="324" t="str">
        <f t="shared" si="110"/>
        <v>7.4.1  PTFE-Folien, Dicke d ≥ 0,05 mm  [-]</v>
      </c>
      <c r="R420" s="338" t="str">
        <f t="shared" si="111"/>
        <v>-</v>
      </c>
      <c r="S420" s="339" t="str">
        <f t="shared" si="117"/>
        <v xml:space="preserve">7.4.1  PTFE-Folien, Dicke d ≥ 0,05 mm </v>
      </c>
      <c r="T420" s="339"/>
      <c r="U420" s="339" t="str">
        <f t="shared" si="112"/>
        <v>[-]</v>
      </c>
    </row>
    <row r="421" spans="1:21" hidden="1">
      <c r="D421" s="215" t="s">
        <v>837</v>
      </c>
      <c r="F421" s="213" t="s">
        <v>835</v>
      </c>
      <c r="G421" s="213" t="s">
        <v>367</v>
      </c>
      <c r="H421" s="213" t="s">
        <v>1432</v>
      </c>
      <c r="O421" s="324" t="str">
        <f t="shared" si="109"/>
        <v/>
      </c>
      <c r="P421" s="324" t="str">
        <f t="shared" si="113"/>
        <v/>
      </c>
      <c r="Q421" s="324" t="str">
        <f t="shared" si="110"/>
        <v>7.4.2  PA-Folie, Dicke d ≥ 0,05 mm  [-]</v>
      </c>
      <c r="R421" s="338" t="str">
        <f t="shared" si="111"/>
        <v>-</v>
      </c>
      <c r="S421" s="339" t="str">
        <f t="shared" si="117"/>
        <v xml:space="preserve">7.4.2  PA-Folie, Dicke d ≥ 0,05 mm </v>
      </c>
      <c r="T421" s="339"/>
      <c r="U421" s="339" t="str">
        <f t="shared" si="112"/>
        <v>[-]</v>
      </c>
    </row>
    <row r="422" spans="1:21" hidden="1">
      <c r="D422" s="215" t="s">
        <v>838</v>
      </c>
      <c r="F422" s="213" t="s">
        <v>835</v>
      </c>
      <c r="G422" s="213" t="s">
        <v>367</v>
      </c>
      <c r="H422" s="213" t="s">
        <v>1200</v>
      </c>
      <c r="O422" s="324" t="str">
        <f t="shared" si="109"/>
        <v/>
      </c>
      <c r="P422" s="324" t="str">
        <f t="shared" si="113"/>
        <v/>
      </c>
      <c r="Q422" s="324" t="str">
        <f t="shared" si="110"/>
        <v>7.4.3  PP-Folie, Dicke d ≥ 0,05 mm  [-]</v>
      </c>
      <c r="R422" s="338" t="str">
        <f t="shared" si="111"/>
        <v>-</v>
      </c>
      <c r="S422" s="339" t="str">
        <f t="shared" si="117"/>
        <v xml:space="preserve">7.4.3  PP-Folie, Dicke d ≥ 0,05 mm </v>
      </c>
      <c r="T422" s="339"/>
      <c r="U422" s="339" t="str">
        <f t="shared" si="112"/>
        <v>[-]</v>
      </c>
    </row>
    <row r="423" spans="1:21" hidden="1">
      <c r="A423" s="214" t="s">
        <v>1727</v>
      </c>
      <c r="B423" s="213" t="s">
        <v>1433</v>
      </c>
      <c r="D423" s="213" t="s">
        <v>1445</v>
      </c>
      <c r="F423" s="213" t="s">
        <v>1437</v>
      </c>
      <c r="G423" s="213">
        <v>5.5E-2</v>
      </c>
      <c r="H423" s="213" t="s">
        <v>1436</v>
      </c>
      <c r="I423" s="213" t="s">
        <v>1435</v>
      </c>
      <c r="K423" s="1073"/>
      <c r="O423" s="324" t="str">
        <f t="shared" si="109"/>
        <v>8 Sonstige</v>
      </c>
      <c r="P423" s="324" t="str">
        <f t="shared" si="113"/>
        <v>8.1  Lose Schüttung</v>
      </c>
      <c r="Q423" s="324" t="str">
        <f t="shared" si="110"/>
        <v>8.1.1 Schüttung Korkschrot, expandiert  [0,055]</v>
      </c>
      <c r="R423" s="338">
        <f t="shared" si="111"/>
        <v>5.5E-2</v>
      </c>
      <c r="S423" s="339" t="str">
        <f t="shared" si="117"/>
        <v xml:space="preserve">8.1.1 Schüttung Korkschrot, expandiert </v>
      </c>
      <c r="T423" s="339"/>
      <c r="U423" s="339" t="str">
        <f t="shared" si="112"/>
        <v>[0,055]</v>
      </c>
    </row>
    <row r="424" spans="1:21" ht="12" hidden="1" customHeight="1">
      <c r="A424" s="1271" t="s">
        <v>1434</v>
      </c>
      <c r="B424" s="1271" t="s">
        <v>1452</v>
      </c>
      <c r="C424" s="1271"/>
      <c r="D424" s="213" t="s">
        <v>1446</v>
      </c>
      <c r="F424" s="213" t="s">
        <v>1438</v>
      </c>
      <c r="G424" s="213">
        <v>0.13</v>
      </c>
      <c r="H424" s="228" t="str">
        <f t="shared" ref="H424:H430" si="121">H423</f>
        <v xml:space="preserve">3 </v>
      </c>
      <c r="O424" s="324" t="str">
        <f t="shared" si="109"/>
        <v>Sonstige gebräuchliche Stoffe</v>
      </c>
      <c r="P424" s="324" t="str">
        <f t="shared" si="113"/>
        <v/>
      </c>
      <c r="Q424" s="324" t="str">
        <f t="shared" si="110"/>
        <v>8.1.1 Schüttung Hüttenbims  [0,13]</v>
      </c>
      <c r="R424" s="338">
        <f t="shared" si="111"/>
        <v>0.13</v>
      </c>
      <c r="S424" s="339" t="str">
        <f t="shared" si="117"/>
        <v xml:space="preserve">8.1.1 Schüttung Hüttenbims </v>
      </c>
      <c r="T424" s="339"/>
      <c r="U424" s="339" t="str">
        <f t="shared" si="112"/>
        <v>[0,13]</v>
      </c>
    </row>
    <row r="425" spans="1:21" hidden="1">
      <c r="A425" s="1271"/>
      <c r="B425" s="1271"/>
      <c r="C425" s="1271"/>
      <c r="D425" s="213" t="s">
        <v>1447</v>
      </c>
      <c r="F425" s="213" t="s">
        <v>1439</v>
      </c>
      <c r="G425" s="213">
        <v>0.16</v>
      </c>
      <c r="H425" s="228" t="str">
        <f t="shared" si="121"/>
        <v xml:space="preserve">3 </v>
      </c>
      <c r="O425" s="324" t="str">
        <f t="shared" si="109"/>
        <v/>
      </c>
      <c r="P425" s="324" t="str">
        <f t="shared" si="113"/>
        <v/>
      </c>
      <c r="Q425" s="324" t="str">
        <f t="shared" si="110"/>
        <v>8.1.1 Schüttung Blähton, Blähschiefer  [0,16]</v>
      </c>
      <c r="R425" s="338">
        <f t="shared" si="111"/>
        <v>0.16</v>
      </c>
      <c r="S425" s="339" t="str">
        <f t="shared" si="117"/>
        <v xml:space="preserve">8.1.1 Schüttung Blähton, Blähschiefer </v>
      </c>
      <c r="T425" s="339"/>
      <c r="U425" s="339" t="str">
        <f t="shared" si="112"/>
        <v>[0,16]</v>
      </c>
    </row>
    <row r="426" spans="1:21" hidden="1">
      <c r="A426" s="1271"/>
      <c r="D426" s="213" t="s">
        <v>1448</v>
      </c>
      <c r="F426" s="213" t="s">
        <v>1440</v>
      </c>
      <c r="G426" s="213">
        <v>0.19</v>
      </c>
      <c r="H426" s="228" t="str">
        <f t="shared" si="121"/>
        <v xml:space="preserve">3 </v>
      </c>
      <c r="O426" s="324" t="str">
        <f t="shared" si="109"/>
        <v/>
      </c>
      <c r="P426" s="324" t="str">
        <f t="shared" si="113"/>
        <v/>
      </c>
      <c r="Q426" s="324" t="str">
        <f t="shared" si="110"/>
        <v>8.1.1 Schüttung Bimskies  [0,19]</v>
      </c>
      <c r="R426" s="338">
        <f t="shared" si="111"/>
        <v>0.19</v>
      </c>
      <c r="S426" s="339" t="str">
        <f t="shared" si="117"/>
        <v xml:space="preserve">8.1.1 Schüttung Bimskies </v>
      </c>
      <c r="T426" s="339"/>
      <c r="U426" s="339" t="str">
        <f t="shared" si="112"/>
        <v>[0,19]</v>
      </c>
    </row>
    <row r="427" spans="1:21" hidden="1">
      <c r="D427" s="213" t="s">
        <v>1449</v>
      </c>
      <c r="F427" s="213" t="s">
        <v>1441</v>
      </c>
      <c r="G427" s="213">
        <v>0.22</v>
      </c>
      <c r="H427" s="228" t="str">
        <f t="shared" si="121"/>
        <v xml:space="preserve">3 </v>
      </c>
      <c r="O427" s="324" t="str">
        <f t="shared" si="109"/>
        <v/>
      </c>
      <c r="P427" s="324" t="str">
        <f t="shared" si="113"/>
        <v/>
      </c>
      <c r="Q427" s="324" t="str">
        <f t="shared" si="110"/>
        <v>8.1.1 Schüttung Schaumlava  [0,22]</v>
      </c>
      <c r="R427" s="338">
        <f t="shared" si="111"/>
        <v>0.22</v>
      </c>
      <c r="S427" s="339" t="str">
        <f t="shared" si="117"/>
        <v xml:space="preserve">8.1.1 Schüttung Schaumlava </v>
      </c>
      <c r="T427" s="339"/>
      <c r="U427" s="339" t="str">
        <f t="shared" si="112"/>
        <v>[0,22]</v>
      </c>
    </row>
    <row r="428" spans="1:21" hidden="1">
      <c r="D428" s="213" t="s">
        <v>1449</v>
      </c>
      <c r="F428" s="213" t="s">
        <v>1442</v>
      </c>
      <c r="G428" s="213">
        <v>0.27</v>
      </c>
      <c r="H428" s="228" t="str">
        <f t="shared" si="121"/>
        <v xml:space="preserve">3 </v>
      </c>
      <c r="O428" s="324" t="str">
        <f t="shared" si="109"/>
        <v/>
      </c>
      <c r="P428" s="324" t="str">
        <f t="shared" si="113"/>
        <v/>
      </c>
      <c r="Q428" s="324" t="str">
        <f t="shared" si="110"/>
        <v>8.1.1 Schüttung Schaumlava  [0,27]</v>
      </c>
      <c r="R428" s="338">
        <f t="shared" si="111"/>
        <v>0.27</v>
      </c>
      <c r="S428" s="339" t="str">
        <f t="shared" ref="S428:S447" si="122">D428</f>
        <v xml:space="preserve">8.1.1 Schüttung Schaumlava </v>
      </c>
      <c r="T428" s="339"/>
      <c r="U428" s="339" t="str">
        <f t="shared" si="112"/>
        <v>[0,27]</v>
      </c>
    </row>
    <row r="429" spans="1:21" hidden="1">
      <c r="D429" s="213" t="s">
        <v>1450</v>
      </c>
      <c r="F429" s="213" t="s">
        <v>1443</v>
      </c>
      <c r="G429" s="213">
        <v>0.05</v>
      </c>
      <c r="H429" s="228" t="str">
        <f t="shared" si="121"/>
        <v xml:space="preserve">3 </v>
      </c>
      <c r="O429" s="324" t="str">
        <f t="shared" si="109"/>
        <v/>
      </c>
      <c r="P429" s="324" t="str">
        <f t="shared" si="113"/>
        <v/>
      </c>
      <c r="Q429" s="324" t="str">
        <f t="shared" si="110"/>
        <v>8.1.2 Schüttung aus Polystyrolschaumstoff-Partikeln  [0,05]</v>
      </c>
      <c r="R429" s="338">
        <f t="shared" si="111"/>
        <v>0.05</v>
      </c>
      <c r="S429" s="339" t="str">
        <f t="shared" si="122"/>
        <v xml:space="preserve">8.1.2 Schüttung aus Polystyrolschaumstoff-Partikeln </v>
      </c>
      <c r="T429" s="339"/>
      <c r="U429" s="339" t="str">
        <f t="shared" si="112"/>
        <v>[0,05]</v>
      </c>
    </row>
    <row r="430" spans="1:21" hidden="1">
      <c r="D430" s="213" t="s">
        <v>1451</v>
      </c>
      <c r="F430" s="213" t="s">
        <v>1444</v>
      </c>
      <c r="G430" s="213">
        <v>0.7</v>
      </c>
      <c r="H430" s="228" t="str">
        <f t="shared" si="121"/>
        <v xml:space="preserve">3 </v>
      </c>
      <c r="O430" s="324" t="str">
        <f t="shared" si="109"/>
        <v/>
      </c>
      <c r="P430" s="324" t="str">
        <f t="shared" si="113"/>
        <v/>
      </c>
      <c r="Q430" s="324" t="str">
        <f t="shared" si="110"/>
        <v>8.1.3 Schüttung aus Sand, Kies, Splitt (trocken)  [0,7]</v>
      </c>
      <c r="R430" s="338">
        <f t="shared" si="111"/>
        <v>0.7</v>
      </c>
      <c r="S430" s="339" t="str">
        <f t="shared" si="122"/>
        <v xml:space="preserve">8.1.3 Schüttung aus Sand, Kies, Splitt (trocken) </v>
      </c>
      <c r="T430" s="339"/>
      <c r="U430" s="339" t="str">
        <f t="shared" si="112"/>
        <v>[0,7]</v>
      </c>
    </row>
    <row r="431" spans="1:21" hidden="1">
      <c r="B431" s="213" t="s">
        <v>1453</v>
      </c>
      <c r="D431" s="186" t="s">
        <v>828</v>
      </c>
      <c r="O431" s="324" t="str">
        <f t="shared" si="109"/>
        <v/>
      </c>
      <c r="P431" s="324" t="str">
        <f t="shared" si="113"/>
        <v>8.2  Fliesen</v>
      </c>
      <c r="Q431" s="324" t="str">
        <f t="shared" si="110"/>
        <v xml:space="preserve">Siehe DIN EN ISO 10456 </v>
      </c>
      <c r="R431" s="338">
        <f t="shared" si="111"/>
        <v>0</v>
      </c>
      <c r="S431" s="339" t="str">
        <f t="shared" si="122"/>
        <v xml:space="preserve">Siehe DIN EN ISO 10456 </v>
      </c>
      <c r="T431" s="339"/>
      <c r="U431" s="339" t="str">
        <f t="shared" si="112"/>
        <v/>
      </c>
    </row>
    <row r="432" spans="1:21" hidden="1">
      <c r="B432" s="213" t="s">
        <v>1454</v>
      </c>
      <c r="D432" s="186" t="s">
        <v>828</v>
      </c>
      <c r="O432" s="324" t="str">
        <f t="shared" ref="O432:O447" si="123">IF(A432&gt;0,A432,"")</f>
        <v/>
      </c>
      <c r="P432" s="324" t="str">
        <f t="shared" si="113"/>
        <v>8.3  Glas</v>
      </c>
      <c r="Q432" s="324" t="str">
        <f t="shared" ref="Q432:Q447" si="124">IF(S432&gt;0,S432,"")&amp;IF(T432&lt;&gt;""," "&amp;T432,"")&amp;IF(U432&lt;&gt;""," "&amp;U432,"")&amp;IF(V432&lt;&gt;""," "&amp;V432,"")</f>
        <v xml:space="preserve">Siehe DIN EN ISO 10456 </v>
      </c>
      <c r="R432" s="338">
        <f t="shared" ref="R432:R447" si="125">G432</f>
        <v>0</v>
      </c>
      <c r="S432" s="339" t="str">
        <f t="shared" si="122"/>
        <v xml:space="preserve">Siehe DIN EN ISO 10456 </v>
      </c>
      <c r="T432" s="339"/>
      <c r="U432" s="339" t="str">
        <f t="shared" ref="U432:U447" si="126">IF(G432&gt;0,"["&amp;G432&amp;"]","")</f>
        <v/>
      </c>
    </row>
    <row r="433" spans="1:21" hidden="1">
      <c r="B433" s="213" t="s">
        <v>1455</v>
      </c>
      <c r="D433" s="186" t="s">
        <v>828</v>
      </c>
      <c r="O433" s="324" t="str">
        <f t="shared" si="123"/>
        <v/>
      </c>
      <c r="P433" s="324" t="str">
        <f t="shared" ref="P433:P447" si="127">IF(ISERROR(VALUE((LEFT(B433,1))))=FALSE,B433,"")</f>
        <v>8.4  Natursteine</v>
      </c>
      <c r="Q433" s="324" t="str">
        <f t="shared" si="124"/>
        <v xml:space="preserve">Siehe DIN EN ISO 10456 </v>
      </c>
      <c r="R433" s="338">
        <f t="shared" si="125"/>
        <v>0</v>
      </c>
      <c r="S433" s="339" t="str">
        <f t="shared" si="122"/>
        <v xml:space="preserve">Siehe DIN EN ISO 10456 </v>
      </c>
      <c r="T433" s="339"/>
      <c r="U433" s="339" t="str">
        <f t="shared" si="126"/>
        <v/>
      </c>
    </row>
    <row r="434" spans="1:21" hidden="1">
      <c r="B434" s="213" t="s">
        <v>1124</v>
      </c>
      <c r="D434" s="213" t="s">
        <v>1124</v>
      </c>
      <c r="F434" s="213" t="s">
        <v>1367</v>
      </c>
      <c r="G434" s="213">
        <v>0.14000000000000001</v>
      </c>
      <c r="H434" s="213" t="s">
        <v>1365</v>
      </c>
      <c r="O434" s="324" t="str">
        <f t="shared" si="123"/>
        <v/>
      </c>
      <c r="P434" s="324" t="str">
        <f t="shared" si="127"/>
        <v>8.5  Lehmbaustoffe</v>
      </c>
      <c r="Q434" s="324" t="str">
        <f t="shared" si="124"/>
        <v>8.5  Lehmbaustoffe - rho 500  [0,14]</v>
      </c>
      <c r="R434" s="338">
        <f t="shared" si="125"/>
        <v>0.14000000000000001</v>
      </c>
      <c r="S434" s="339" t="str">
        <f t="shared" si="122"/>
        <v>8.5  Lehmbaustoffe</v>
      </c>
      <c r="T434" s="339" t="str">
        <f t="shared" ref="T434:T444" si="128" xml:space="preserve"> "- rho "&amp;F434</f>
        <v xml:space="preserve">- rho 500 </v>
      </c>
      <c r="U434" s="339" t="str">
        <f t="shared" si="126"/>
        <v>[0,14]</v>
      </c>
    </row>
    <row r="435" spans="1:21" hidden="1">
      <c r="D435" s="228" t="str">
        <f t="shared" ref="D435:D444" si="129">D434</f>
        <v>8.5  Lehmbaustoffe</v>
      </c>
      <c r="F435" s="213" t="s">
        <v>1369</v>
      </c>
      <c r="G435" s="213">
        <v>0.17</v>
      </c>
      <c r="H435" s="228" t="str">
        <f t="shared" ref="H435:H444" si="130">H434</f>
        <v xml:space="preserve">5/10 </v>
      </c>
      <c r="O435" s="324" t="str">
        <f t="shared" si="123"/>
        <v/>
      </c>
      <c r="P435" s="324" t="str">
        <f t="shared" si="127"/>
        <v/>
      </c>
      <c r="Q435" s="324" t="str">
        <f t="shared" si="124"/>
        <v>8.5  Lehmbaustoffe - rho 600  [0,17]</v>
      </c>
      <c r="R435" s="338">
        <f t="shared" si="125"/>
        <v>0.17</v>
      </c>
      <c r="S435" s="339" t="str">
        <f t="shared" si="122"/>
        <v>8.5  Lehmbaustoffe</v>
      </c>
      <c r="T435" s="339" t="str">
        <f t="shared" si="128"/>
        <v xml:space="preserve">- rho 600 </v>
      </c>
      <c r="U435" s="339" t="str">
        <f t="shared" si="126"/>
        <v>[0,17]</v>
      </c>
    </row>
    <row r="436" spans="1:21" hidden="1">
      <c r="B436" s="229"/>
      <c r="C436" s="229"/>
      <c r="D436" s="228" t="str">
        <f t="shared" si="129"/>
        <v>8.5  Lehmbaustoffe</v>
      </c>
      <c r="F436" s="213" t="s">
        <v>1199</v>
      </c>
      <c r="G436" s="213">
        <v>0.21</v>
      </c>
      <c r="H436" s="228" t="str">
        <f t="shared" si="130"/>
        <v xml:space="preserve">5/10 </v>
      </c>
      <c r="O436" s="324" t="str">
        <f t="shared" si="123"/>
        <v/>
      </c>
      <c r="P436" s="324" t="str">
        <f t="shared" si="127"/>
        <v/>
      </c>
      <c r="Q436" s="324" t="str">
        <f t="shared" si="124"/>
        <v>8.5  Lehmbaustoffe - rho 700  [0,21]</v>
      </c>
      <c r="R436" s="338">
        <f t="shared" si="125"/>
        <v>0.21</v>
      </c>
      <c r="S436" s="339" t="str">
        <f t="shared" si="122"/>
        <v>8.5  Lehmbaustoffe</v>
      </c>
      <c r="T436" s="339" t="str">
        <f t="shared" si="128"/>
        <v xml:space="preserve">- rho 700 </v>
      </c>
      <c r="U436" s="339" t="str">
        <f t="shared" si="126"/>
        <v>[0,21]</v>
      </c>
    </row>
    <row r="437" spans="1:21" hidden="1">
      <c r="D437" s="228" t="str">
        <f t="shared" si="129"/>
        <v>8.5  Lehmbaustoffe</v>
      </c>
      <c r="F437" s="213" t="s">
        <v>1353</v>
      </c>
      <c r="G437" s="213">
        <v>0.25</v>
      </c>
      <c r="H437" s="228" t="str">
        <f t="shared" si="130"/>
        <v xml:space="preserve">5/10 </v>
      </c>
      <c r="O437" s="324" t="str">
        <f t="shared" si="123"/>
        <v/>
      </c>
      <c r="P437" s="324" t="str">
        <f t="shared" si="127"/>
        <v/>
      </c>
      <c r="Q437" s="324" t="str">
        <f t="shared" si="124"/>
        <v>8.5  Lehmbaustoffe - rho 800  [0,25]</v>
      </c>
      <c r="R437" s="338">
        <f t="shared" si="125"/>
        <v>0.25</v>
      </c>
      <c r="S437" s="339" t="str">
        <f t="shared" si="122"/>
        <v>8.5  Lehmbaustoffe</v>
      </c>
      <c r="T437" s="339" t="str">
        <f t="shared" si="128"/>
        <v xml:space="preserve">- rho 800 </v>
      </c>
      <c r="U437" s="339" t="str">
        <f t="shared" si="126"/>
        <v>[0,25]</v>
      </c>
    </row>
    <row r="438" spans="1:21" hidden="1">
      <c r="D438" s="228" t="str">
        <f t="shared" si="129"/>
        <v>8.5  Lehmbaustoffe</v>
      </c>
      <c r="F438" s="213" t="s">
        <v>1355</v>
      </c>
      <c r="G438" s="213">
        <v>0.3</v>
      </c>
      <c r="H438" s="228" t="str">
        <f t="shared" si="130"/>
        <v xml:space="preserve">5/10 </v>
      </c>
      <c r="O438" s="324" t="str">
        <f t="shared" si="123"/>
        <v/>
      </c>
      <c r="P438" s="324" t="str">
        <f t="shared" si="127"/>
        <v/>
      </c>
      <c r="Q438" s="324" t="str">
        <f t="shared" si="124"/>
        <v>8.5  Lehmbaustoffe - rho 900  [0,3]</v>
      </c>
      <c r="R438" s="338">
        <f t="shared" si="125"/>
        <v>0.3</v>
      </c>
      <c r="S438" s="339" t="str">
        <f t="shared" si="122"/>
        <v>8.5  Lehmbaustoffe</v>
      </c>
      <c r="T438" s="339" t="str">
        <f t="shared" si="128"/>
        <v xml:space="preserve">- rho 900 </v>
      </c>
      <c r="U438" s="339" t="str">
        <f t="shared" si="126"/>
        <v>[0,3]</v>
      </c>
    </row>
    <row r="439" spans="1:21" hidden="1">
      <c r="D439" s="228" t="str">
        <f t="shared" si="129"/>
        <v>8.5  Lehmbaustoffe</v>
      </c>
      <c r="F439" s="213" t="s">
        <v>1376</v>
      </c>
      <c r="G439" s="213">
        <v>0.35</v>
      </c>
      <c r="H439" s="228" t="str">
        <f t="shared" si="130"/>
        <v xml:space="preserve">5/10 </v>
      </c>
      <c r="O439" s="324" t="str">
        <f t="shared" si="123"/>
        <v/>
      </c>
      <c r="P439" s="324" t="str">
        <f t="shared" si="127"/>
        <v/>
      </c>
      <c r="Q439" s="324" t="str">
        <f t="shared" si="124"/>
        <v>8.5  Lehmbaustoffe - rho 1000  [0,35]</v>
      </c>
      <c r="R439" s="338">
        <f t="shared" si="125"/>
        <v>0.35</v>
      </c>
      <c r="S439" s="339" t="str">
        <f t="shared" si="122"/>
        <v>8.5  Lehmbaustoffe</v>
      </c>
      <c r="T439" s="339" t="str">
        <f t="shared" si="128"/>
        <v xml:space="preserve">- rho 1000 </v>
      </c>
      <c r="U439" s="339" t="str">
        <f t="shared" si="126"/>
        <v>[0,35]</v>
      </c>
    </row>
    <row r="440" spans="1:21" hidden="1">
      <c r="D440" s="228" t="str">
        <f t="shared" si="129"/>
        <v>8.5  Lehmbaustoffe</v>
      </c>
      <c r="F440" s="213" t="s">
        <v>1377</v>
      </c>
      <c r="G440" s="213">
        <v>0.47</v>
      </c>
      <c r="H440" s="228" t="str">
        <f t="shared" si="130"/>
        <v xml:space="preserve">5/10 </v>
      </c>
      <c r="O440" s="324" t="str">
        <f t="shared" si="123"/>
        <v/>
      </c>
      <c r="P440" s="324" t="str">
        <f t="shared" si="127"/>
        <v/>
      </c>
      <c r="Q440" s="324" t="str">
        <f t="shared" si="124"/>
        <v>8.5  Lehmbaustoffe - rho 1200  [0,47]</v>
      </c>
      <c r="R440" s="338">
        <f t="shared" si="125"/>
        <v>0.47</v>
      </c>
      <c r="S440" s="339" t="str">
        <f t="shared" si="122"/>
        <v>8.5  Lehmbaustoffe</v>
      </c>
      <c r="T440" s="339" t="str">
        <f t="shared" si="128"/>
        <v xml:space="preserve">- rho 1200 </v>
      </c>
      <c r="U440" s="339" t="str">
        <f t="shared" si="126"/>
        <v>[0,47]</v>
      </c>
    </row>
    <row r="441" spans="1:21" hidden="1">
      <c r="D441" s="228" t="str">
        <f t="shared" si="129"/>
        <v>8.5  Lehmbaustoffe</v>
      </c>
      <c r="F441" s="213" t="s">
        <v>1378</v>
      </c>
      <c r="G441" s="213">
        <v>0.59</v>
      </c>
      <c r="H441" s="228" t="str">
        <f t="shared" si="130"/>
        <v xml:space="preserve">5/10 </v>
      </c>
      <c r="O441" s="324" t="str">
        <f t="shared" si="123"/>
        <v/>
      </c>
      <c r="P441" s="324" t="str">
        <f t="shared" si="127"/>
        <v/>
      </c>
      <c r="Q441" s="324" t="str">
        <f t="shared" si="124"/>
        <v>8.5  Lehmbaustoffe - rho 1400  [0,59]</v>
      </c>
      <c r="R441" s="338">
        <f t="shared" si="125"/>
        <v>0.59</v>
      </c>
      <c r="S441" s="339" t="str">
        <f t="shared" si="122"/>
        <v>8.5  Lehmbaustoffe</v>
      </c>
      <c r="T441" s="339" t="str">
        <f t="shared" si="128"/>
        <v xml:space="preserve">- rho 1400 </v>
      </c>
      <c r="U441" s="339" t="str">
        <f t="shared" si="126"/>
        <v>[0,59]</v>
      </c>
    </row>
    <row r="442" spans="1:21" hidden="1">
      <c r="D442" s="228" t="str">
        <f t="shared" si="129"/>
        <v>8.5  Lehmbaustoffe</v>
      </c>
      <c r="F442" s="213" t="s">
        <v>1379</v>
      </c>
      <c r="G442" s="213">
        <v>0.73</v>
      </c>
      <c r="H442" s="228" t="str">
        <f t="shared" si="130"/>
        <v xml:space="preserve">5/10 </v>
      </c>
      <c r="O442" s="324" t="str">
        <f t="shared" si="123"/>
        <v/>
      </c>
      <c r="P442" s="324" t="str">
        <f t="shared" si="127"/>
        <v/>
      </c>
      <c r="Q442" s="324" t="str">
        <f t="shared" si="124"/>
        <v>8.5  Lehmbaustoffe - rho 1600  [0,73]</v>
      </c>
      <c r="R442" s="338">
        <f t="shared" si="125"/>
        <v>0.73</v>
      </c>
      <c r="S442" s="339" t="str">
        <f t="shared" si="122"/>
        <v>8.5  Lehmbaustoffe</v>
      </c>
      <c r="T442" s="339" t="str">
        <f t="shared" si="128"/>
        <v xml:space="preserve">- rho 1600 </v>
      </c>
      <c r="U442" s="339" t="str">
        <f t="shared" si="126"/>
        <v>[0,73]</v>
      </c>
    </row>
    <row r="443" spans="1:21" hidden="1">
      <c r="D443" s="228" t="str">
        <f t="shared" si="129"/>
        <v>8.5  Lehmbaustoffe</v>
      </c>
      <c r="F443" s="213" t="s">
        <v>1401</v>
      </c>
      <c r="G443" s="213">
        <v>0.91</v>
      </c>
      <c r="H443" s="228" t="str">
        <f t="shared" si="130"/>
        <v xml:space="preserve">5/10 </v>
      </c>
      <c r="O443" s="324" t="str">
        <f t="shared" si="123"/>
        <v/>
      </c>
      <c r="P443" s="324" t="str">
        <f t="shared" si="127"/>
        <v/>
      </c>
      <c r="Q443" s="324" t="str">
        <f t="shared" si="124"/>
        <v>8.5  Lehmbaustoffe - rho 1800  [0,91]</v>
      </c>
      <c r="R443" s="338">
        <f t="shared" si="125"/>
        <v>0.91</v>
      </c>
      <c r="S443" s="339" t="str">
        <f t="shared" si="122"/>
        <v>8.5  Lehmbaustoffe</v>
      </c>
      <c r="T443" s="339" t="str">
        <f t="shared" si="128"/>
        <v xml:space="preserve">- rho 1800 </v>
      </c>
      <c r="U443" s="339" t="str">
        <f t="shared" si="126"/>
        <v>[0,91]</v>
      </c>
    </row>
    <row r="444" spans="1:21" hidden="1">
      <c r="D444" s="228" t="str">
        <f t="shared" si="129"/>
        <v>8.5  Lehmbaustoffe</v>
      </c>
      <c r="F444" s="213" t="s">
        <v>1403</v>
      </c>
      <c r="G444" s="213">
        <v>1.1000000000000001</v>
      </c>
      <c r="H444" s="228" t="str">
        <f t="shared" si="130"/>
        <v xml:space="preserve">5/10 </v>
      </c>
      <c r="O444" s="324" t="str">
        <f t="shared" si="123"/>
        <v/>
      </c>
      <c r="P444" s="324" t="str">
        <f t="shared" si="127"/>
        <v/>
      </c>
      <c r="Q444" s="324" t="str">
        <f t="shared" si="124"/>
        <v>8.5  Lehmbaustoffe - rho 2000  [1,1]</v>
      </c>
      <c r="R444" s="338">
        <f t="shared" si="125"/>
        <v>1.1000000000000001</v>
      </c>
      <c r="S444" s="339" t="str">
        <f t="shared" si="122"/>
        <v>8.5  Lehmbaustoffe</v>
      </c>
      <c r="T444" s="339" t="str">
        <f t="shared" si="128"/>
        <v xml:space="preserve">- rho 2000 </v>
      </c>
      <c r="U444" s="339" t="str">
        <f t="shared" si="126"/>
        <v>[1,1]</v>
      </c>
    </row>
    <row r="445" spans="1:21" hidden="1">
      <c r="B445" s="213" t="s">
        <v>839</v>
      </c>
      <c r="D445" s="186" t="s">
        <v>828</v>
      </c>
      <c r="O445" s="324" t="str">
        <f t="shared" si="123"/>
        <v/>
      </c>
      <c r="P445" s="324" t="str">
        <f t="shared" si="127"/>
        <v xml:space="preserve">8.6  Böden, naturfeucht </v>
      </c>
      <c r="Q445" s="324" t="str">
        <f t="shared" si="124"/>
        <v xml:space="preserve">Siehe DIN EN ISO 10456 </v>
      </c>
      <c r="R445" s="338">
        <f t="shared" si="125"/>
        <v>0</v>
      </c>
      <c r="S445" s="339" t="str">
        <f t="shared" si="122"/>
        <v xml:space="preserve">Siehe DIN EN ISO 10456 </v>
      </c>
      <c r="T445" s="339"/>
      <c r="U445" s="339" t="str">
        <f t="shared" si="126"/>
        <v/>
      </c>
    </row>
    <row r="446" spans="1:21" hidden="1">
      <c r="B446" s="213" t="s">
        <v>840</v>
      </c>
      <c r="D446" s="186" t="s">
        <v>828</v>
      </c>
      <c r="O446" s="324" t="str">
        <f t="shared" si="123"/>
        <v/>
      </c>
      <c r="P446" s="324" t="str">
        <f t="shared" si="127"/>
        <v xml:space="preserve">8.7  Keramik und Glasmosaik </v>
      </c>
      <c r="Q446" s="324" t="str">
        <f t="shared" si="124"/>
        <v xml:space="preserve">Siehe DIN EN ISO 10456 </v>
      </c>
      <c r="R446" s="338">
        <f t="shared" si="125"/>
        <v>0</v>
      </c>
      <c r="S446" s="339" t="str">
        <f t="shared" si="122"/>
        <v xml:space="preserve">Siehe DIN EN ISO 10456 </v>
      </c>
      <c r="T446" s="339"/>
      <c r="U446" s="339" t="str">
        <f t="shared" si="126"/>
        <v/>
      </c>
    </row>
    <row r="447" spans="1:21" hidden="1">
      <c r="B447" s="213" t="s">
        <v>841</v>
      </c>
      <c r="D447" s="186" t="s">
        <v>828</v>
      </c>
      <c r="O447" s="324" t="str">
        <f t="shared" si="123"/>
        <v/>
      </c>
      <c r="P447" s="324" t="str">
        <f t="shared" si="127"/>
        <v xml:space="preserve">8.8  Metalle </v>
      </c>
      <c r="Q447" s="324" t="str">
        <f t="shared" si="124"/>
        <v xml:space="preserve">Siehe DIN EN ISO 10456 </v>
      </c>
      <c r="R447" s="338">
        <f t="shared" si="125"/>
        <v>0</v>
      </c>
      <c r="S447" s="339" t="str">
        <f t="shared" si="122"/>
        <v xml:space="preserve">Siehe DIN EN ISO 10456 </v>
      </c>
      <c r="T447" s="339"/>
      <c r="U447" s="339" t="str">
        <f t="shared" si="126"/>
        <v/>
      </c>
    </row>
    <row r="448" spans="1:21" hidden="1">
      <c r="A448" s="213" t="s">
        <v>3452</v>
      </c>
      <c r="D448" s="186"/>
      <c r="O448" s="324" t="s">
        <v>987</v>
      </c>
      <c r="P448" s="324" t="s">
        <v>987</v>
      </c>
      <c r="Q448" s="324"/>
      <c r="R448" s="338"/>
      <c r="S448" s="339"/>
      <c r="T448" s="339"/>
      <c r="U448" s="339"/>
    </row>
    <row r="449" spans="1:21" hidden="1">
      <c r="A449" s="213" t="s">
        <v>3453</v>
      </c>
      <c r="D449" s="186"/>
      <c r="P449" s="324"/>
      <c r="Q449" s="324"/>
      <c r="R449" s="338"/>
      <c r="S449" s="339"/>
      <c r="T449" s="339"/>
      <c r="U449" s="339"/>
    </row>
    <row r="450" spans="1:21" hidden="1">
      <c r="A450" s="182" t="s">
        <v>1456</v>
      </c>
      <c r="P450" s="324"/>
    </row>
    <row r="451" spans="1:21" hidden="1">
      <c r="A451" s="182" t="s">
        <v>1457</v>
      </c>
      <c r="P451" s="324"/>
    </row>
    <row r="452" spans="1:21" hidden="1">
      <c r="A452" s="182" t="s">
        <v>1458</v>
      </c>
    </row>
    <row r="453" spans="1:21" hidden="1">
      <c r="A453" s="182" t="s">
        <v>1459</v>
      </c>
    </row>
    <row r="454" spans="1:21" hidden="1">
      <c r="A454" s="182" t="s">
        <v>3454</v>
      </c>
    </row>
    <row r="455" spans="1:21" hidden="1">
      <c r="A455" s="182" t="s">
        <v>3455</v>
      </c>
    </row>
    <row r="456" spans="1:21" hidden="1">
      <c r="A456" s="182" t="s">
        <v>1460</v>
      </c>
    </row>
    <row r="457" spans="1:21" hidden="1">
      <c r="A457" s="1172" t="s">
        <v>3456</v>
      </c>
    </row>
    <row r="458" spans="1:21" hidden="1">
      <c r="A458" s="1172" t="s">
        <v>3457</v>
      </c>
    </row>
    <row r="459" spans="1:21" hidden="1">
      <c r="A459" s="1172" t="s">
        <v>3458</v>
      </c>
    </row>
    <row r="460" spans="1:21" hidden="1">
      <c r="A460" s="1172" t="s">
        <v>3459</v>
      </c>
    </row>
    <row r="461" spans="1:21" hidden="1">
      <c r="A461" s="182" t="s">
        <v>1462</v>
      </c>
    </row>
    <row r="462" spans="1:21" hidden="1">
      <c r="A462" s="182" t="s">
        <v>1463</v>
      </c>
    </row>
    <row r="463" spans="1:21" hidden="1">
      <c r="A463" s="182" t="s">
        <v>1461</v>
      </c>
    </row>
    <row r="465" spans="1:25" ht="13.8">
      <c r="A465" s="65" t="s">
        <v>3436</v>
      </c>
      <c r="B465" s="66"/>
      <c r="C465" s="66"/>
      <c r="D465" s="66"/>
      <c r="E465" s="66"/>
      <c r="F465" s="66"/>
      <c r="G465" s="165"/>
      <c r="H465" s="66"/>
      <c r="I465" s="66"/>
      <c r="J465" s="1"/>
      <c r="K465" s="122">
        <f>ROW(A466)</f>
        <v>466</v>
      </c>
      <c r="L465" s="122">
        <f>ROW(A781)</f>
        <v>781</v>
      </c>
      <c r="M465" s="122"/>
      <c r="N465" s="122"/>
    </row>
    <row r="466" spans="1:25" ht="72" hidden="1">
      <c r="A466" s="222" t="s">
        <v>823</v>
      </c>
      <c r="B466" s="223" t="s">
        <v>818</v>
      </c>
      <c r="C466" s="223"/>
      <c r="D466" s="223" t="s">
        <v>1153</v>
      </c>
      <c r="E466" s="225"/>
      <c r="F466" s="423" t="s">
        <v>1845</v>
      </c>
      <c r="G466" s="222" t="s">
        <v>3345</v>
      </c>
      <c r="H466" s="222" t="s">
        <v>3346</v>
      </c>
      <c r="I466" s="222" t="s">
        <v>1184</v>
      </c>
    </row>
    <row r="467" spans="1:25" hidden="1">
      <c r="A467" s="220"/>
      <c r="B467" s="224"/>
      <c r="C467" s="224"/>
      <c r="D467" s="224"/>
      <c r="E467" s="227"/>
      <c r="F467" s="424" t="s">
        <v>1169</v>
      </c>
      <c r="G467" s="220" t="s">
        <v>1169</v>
      </c>
      <c r="H467" s="221" t="s">
        <v>1174</v>
      </c>
      <c r="I467" s="219" t="s">
        <v>1176</v>
      </c>
      <c r="O467" s="338" t="s">
        <v>946</v>
      </c>
      <c r="P467" s="338" t="s">
        <v>1668</v>
      </c>
      <c r="Q467" s="338"/>
      <c r="R467" s="338" t="s">
        <v>1669</v>
      </c>
      <c r="S467" s="338"/>
      <c r="U467" s="338"/>
    </row>
    <row r="468" spans="1:25" hidden="1">
      <c r="A468" s="214" t="s">
        <v>829</v>
      </c>
      <c r="B468" s="213" t="s">
        <v>1464</v>
      </c>
      <c r="D468" s="213" t="s">
        <v>1846</v>
      </c>
      <c r="F468" s="1121">
        <v>0.03</v>
      </c>
      <c r="G468" s="213">
        <v>3.1E-2</v>
      </c>
      <c r="H468" s="521">
        <v>1</v>
      </c>
      <c r="I468" s="213" t="s">
        <v>802</v>
      </c>
      <c r="K468" s="1073"/>
      <c r="O468" s="324" t="str">
        <f t="shared" ref="O468:O473" si="131">IF(AND(B468&gt;0,B468,LEFT(B468,1)&lt;&gt;" "),B468,"")</f>
        <v>5.1 Mineralwolle</v>
      </c>
      <c r="P468" s="324" t="str">
        <f t="shared" ref="P468:P473" si="132">S468&amp;IF(T468&lt;&gt;""," "&amp;T468,"")&amp;IF(U468&lt;&gt;""," "&amp;U468,"")&amp;IF(V468&lt;&gt;""," "&amp;V468,"")</f>
        <v>5.1 Mineralwolle (MW) [0,031]</v>
      </c>
      <c r="Q468" s="324"/>
      <c r="R468" s="338">
        <f t="shared" ref="R468:R535" si="133">G468</f>
        <v>3.1E-2</v>
      </c>
      <c r="S468" s="330" t="str">
        <f t="shared" ref="S468:S488" si="134">D468</f>
        <v>5.1 Mineralwolle (MW)</v>
      </c>
      <c r="T468" s="339"/>
      <c r="U468" s="339" t="str">
        <f t="shared" ref="U468:U535" si="135">IF(G468&gt;0,"["&amp;G468&amp;"]","")</f>
        <v>[0,031]</v>
      </c>
      <c r="W468" s="324">
        <f>MATCH(X468,$O$468:O$781,0)+ROW($X$467)</f>
        <v>468</v>
      </c>
      <c r="X468" s="331" t="str">
        <f>O468</f>
        <v>5.1 Mineralwolle</v>
      </c>
      <c r="Y468" s="324" t="str">
        <f t="shared" ref="Y468:Y470" si="136">"p"&amp;W468&amp;":"&amp;"p"&amp;W469-1</f>
        <v>p468:p488</v>
      </c>
    </row>
    <row r="469" spans="1:25" ht="12" hidden="1" customHeight="1">
      <c r="B469" s="1353" t="s">
        <v>1867</v>
      </c>
      <c r="C469" s="1353"/>
      <c r="D469" s="228" t="str">
        <f t="shared" ref="D469:D488" si="137">D468</f>
        <v>5.1 Mineralwolle (MW)</v>
      </c>
      <c r="F469" s="1121">
        <v>3.1E-2</v>
      </c>
      <c r="G469" s="213">
        <v>3.2000000000000001E-2</v>
      </c>
      <c r="H469" s="1115">
        <f t="shared" ref="H469:H536" si="138">H468</f>
        <v>1</v>
      </c>
      <c r="K469" s="1073"/>
      <c r="O469" s="324" t="str">
        <f t="shared" si="131"/>
        <v/>
      </c>
      <c r="P469" s="324" t="str">
        <f t="shared" si="132"/>
        <v>5.1 Mineralwolle (MW) [0,032]</v>
      </c>
      <c r="Q469" s="324"/>
      <c r="R469" s="338">
        <f t="shared" si="133"/>
        <v>3.2000000000000001E-2</v>
      </c>
      <c r="S469" s="330" t="str">
        <f t="shared" si="134"/>
        <v>5.1 Mineralwolle (MW)</v>
      </c>
      <c r="T469" s="339"/>
      <c r="U469" s="339" t="str">
        <f t="shared" si="135"/>
        <v>[0,032]</v>
      </c>
      <c r="W469" s="324">
        <f>MATCH(X469,$O$468:O$781,0)+ROW($X$467)</f>
        <v>489</v>
      </c>
      <c r="X469" s="332" t="str">
        <f>O489</f>
        <v>5.2 Expandierter Polystyrolschaum</v>
      </c>
      <c r="Y469" s="324" t="str">
        <f t="shared" si="136"/>
        <v>p489:p509</v>
      </c>
    </row>
    <row r="470" spans="1:25" hidden="1">
      <c r="B470" s="1353"/>
      <c r="C470" s="1353"/>
      <c r="D470" s="228" t="str">
        <f t="shared" si="137"/>
        <v>5.1 Mineralwolle (MW)</v>
      </c>
      <c r="F470" s="1121">
        <v>3.2000000000000001E-2</v>
      </c>
      <c r="G470" s="216">
        <f>G469+0.001</f>
        <v>3.3000000000000002E-2</v>
      </c>
      <c r="H470" s="1115">
        <f t="shared" si="138"/>
        <v>1</v>
      </c>
      <c r="K470" s="1073"/>
      <c r="O470" s="324" t="str">
        <f t="shared" si="131"/>
        <v/>
      </c>
      <c r="P470" s="324" t="str">
        <f t="shared" si="132"/>
        <v>5.1 Mineralwolle (MW) [0,033]</v>
      </c>
      <c r="Q470" s="324"/>
      <c r="R470" s="338">
        <f t="shared" si="133"/>
        <v>3.3000000000000002E-2</v>
      </c>
      <c r="S470" s="330" t="str">
        <f t="shared" si="134"/>
        <v>5.1 Mineralwolle (MW)</v>
      </c>
      <c r="T470" s="339"/>
      <c r="U470" s="339" t="str">
        <f t="shared" si="135"/>
        <v>[0,033]</v>
      </c>
      <c r="W470" s="324">
        <f>MATCH(X470,$O$468:O$781,0)+ROW($X$467)</f>
        <v>510</v>
      </c>
      <c r="X470" s="332" t="str">
        <f>O510</f>
        <v>5.3 Extrudierter Polystyrolschaum</v>
      </c>
      <c r="Y470" s="324" t="str">
        <f t="shared" si="136"/>
        <v>p510:p533</v>
      </c>
    </row>
    <row r="471" spans="1:25" hidden="1">
      <c r="D471" s="228" t="str">
        <f t="shared" si="137"/>
        <v>5.1 Mineralwolle (MW)</v>
      </c>
      <c r="F471" s="1121">
        <v>3.3000000000000002E-2</v>
      </c>
      <c r="G471" s="216">
        <f t="shared" ref="G471:G473" si="139">G470+0.001</f>
        <v>3.4000000000000002E-2</v>
      </c>
      <c r="H471" s="1115">
        <f t="shared" si="138"/>
        <v>1</v>
      </c>
      <c r="K471" s="1073"/>
      <c r="O471" s="324" t="str">
        <f t="shared" si="131"/>
        <v/>
      </c>
      <c r="P471" s="324" t="str">
        <f t="shared" si="132"/>
        <v>5.1 Mineralwolle (MW) [0,034]</v>
      </c>
      <c r="Q471" s="324"/>
      <c r="R471" s="338">
        <f t="shared" si="133"/>
        <v>3.4000000000000002E-2</v>
      </c>
      <c r="S471" s="330" t="str">
        <f t="shared" si="134"/>
        <v>5.1 Mineralwolle (MW)</v>
      </c>
      <c r="T471" s="339"/>
      <c r="U471" s="339" t="str">
        <f t="shared" si="135"/>
        <v>[0,034]</v>
      </c>
      <c r="W471" s="324">
        <f>MATCH(X471,$O$468:O$781,0)+ROW($X$467)</f>
        <v>534</v>
      </c>
      <c r="X471" s="332" t="str">
        <f>O534</f>
        <v>5.4 Polyurethan-Hartschaum</v>
      </c>
      <c r="Y471" s="324" t="str">
        <f>"p"&amp;W471&amp;":"&amp;"p"&amp;W472-1</f>
        <v>p534:p554</v>
      </c>
    </row>
    <row r="472" spans="1:25" hidden="1">
      <c r="D472" s="228" t="str">
        <f t="shared" si="137"/>
        <v>5.1 Mineralwolle (MW)</v>
      </c>
      <c r="F472" s="1121">
        <v>3.4000000000000002E-2</v>
      </c>
      <c r="G472" s="216">
        <f t="shared" si="139"/>
        <v>3.5000000000000003E-2</v>
      </c>
      <c r="H472" s="1115">
        <f t="shared" si="138"/>
        <v>1</v>
      </c>
      <c r="K472" s="1073"/>
      <c r="O472" s="324" t="str">
        <f t="shared" si="131"/>
        <v/>
      </c>
      <c r="P472" s="324" t="str">
        <f t="shared" si="132"/>
        <v>5.1 Mineralwolle (MW) [0,035]</v>
      </c>
      <c r="Q472" s="324"/>
      <c r="R472" s="338">
        <f t="shared" si="133"/>
        <v>3.5000000000000003E-2</v>
      </c>
      <c r="S472" s="330" t="str">
        <f t="shared" si="134"/>
        <v>5.1 Mineralwolle (MW)</v>
      </c>
      <c r="T472" s="339"/>
      <c r="U472" s="339" t="str">
        <f t="shared" si="135"/>
        <v>[0,035]</v>
      </c>
      <c r="W472" s="324">
        <f>MATCH(X472,$O$468:O$781,0)+ROW($X$467)</f>
        <v>555</v>
      </c>
      <c r="X472" s="332" t="str">
        <f>O555</f>
        <v>5.5 Phenolharz-Hartschaum</v>
      </c>
      <c r="Y472" s="324" t="str">
        <f t="shared" ref="Y472:Y481" si="140">"p"&amp;W472&amp;":"&amp;"p"&amp;W473-1</f>
        <v>p555:p570</v>
      </c>
    </row>
    <row r="473" spans="1:25" hidden="1">
      <c r="D473" s="228" t="str">
        <f t="shared" si="137"/>
        <v>5.1 Mineralwolle (MW)</v>
      </c>
      <c r="F473" s="1121">
        <v>3.5000000000000003E-2</v>
      </c>
      <c r="G473" s="216">
        <f t="shared" si="139"/>
        <v>3.6000000000000004E-2</v>
      </c>
      <c r="H473" s="1115">
        <f t="shared" si="138"/>
        <v>1</v>
      </c>
      <c r="K473" s="1073"/>
      <c r="O473" s="324" t="str">
        <f t="shared" si="131"/>
        <v/>
      </c>
      <c r="P473" s="324" t="str">
        <f t="shared" si="132"/>
        <v>5.1 Mineralwolle (MW) [0,036]</v>
      </c>
      <c r="Q473" s="324"/>
      <c r="R473" s="338">
        <f t="shared" si="133"/>
        <v>3.6000000000000004E-2</v>
      </c>
      <c r="S473" s="330" t="str">
        <f t="shared" si="134"/>
        <v>5.1 Mineralwolle (MW)</v>
      </c>
      <c r="T473" s="339"/>
      <c r="U473" s="339" t="str">
        <f t="shared" si="135"/>
        <v>[0,036]</v>
      </c>
      <c r="W473" s="324">
        <f>MATCH(X473,$O$468:O$781,0)+ROW($X$467)</f>
        <v>571</v>
      </c>
      <c r="X473" s="332" t="str">
        <f>O571</f>
        <v>5.6 Schaumglas</v>
      </c>
      <c r="Y473" s="324" t="str">
        <f t="shared" si="140"/>
        <v>p571:p589</v>
      </c>
    </row>
    <row r="474" spans="1:25" hidden="1">
      <c r="D474" s="228" t="str">
        <f>D473</f>
        <v>5.1 Mineralwolle (MW)</v>
      </c>
      <c r="F474" s="1121">
        <v>3.5999999999999997E-2</v>
      </c>
      <c r="G474" s="216">
        <f>G473+0.001</f>
        <v>3.7000000000000005E-2</v>
      </c>
      <c r="H474" s="1115">
        <f t="shared" si="138"/>
        <v>1</v>
      </c>
      <c r="K474" s="1073"/>
      <c r="P474" s="324" t="str">
        <f t="shared" ref="P474:P488" si="141">S474&amp;IF(T474&lt;&gt;""," "&amp;T474,"")&amp;IF(U474&lt;&gt;""," "&amp;U474,"")&amp;IF(V474&lt;&gt;""," "&amp;V474,"")</f>
        <v>5.1 Mineralwolle (MW) [0,037]</v>
      </c>
      <c r="Q474" s="324"/>
      <c r="R474" s="338">
        <f t="shared" si="133"/>
        <v>3.7000000000000005E-2</v>
      </c>
      <c r="S474" s="330" t="str">
        <f t="shared" si="134"/>
        <v>5.1 Mineralwolle (MW)</v>
      </c>
      <c r="T474" s="339"/>
      <c r="U474" s="339" t="str">
        <f t="shared" si="135"/>
        <v>[0,037]</v>
      </c>
      <c r="W474" s="324">
        <f>MATCH(X474,$O$468:O$781,0)+ROW($X$467)</f>
        <v>590</v>
      </c>
      <c r="X474" s="332" t="str">
        <f>O590</f>
        <v>5.7 Holzwolle-Platten</v>
      </c>
      <c r="Y474" s="324" t="str">
        <f t="shared" si="140"/>
        <v>p590:p630</v>
      </c>
    </row>
    <row r="475" spans="1:25" hidden="1">
      <c r="D475" s="228" t="str">
        <f t="shared" si="137"/>
        <v>5.1 Mineralwolle (MW)</v>
      </c>
      <c r="F475" s="1121">
        <v>3.6999999999999998E-2</v>
      </c>
      <c r="G475" s="216">
        <f t="shared" ref="G475:G483" si="142">G474+0.001</f>
        <v>3.8000000000000006E-2</v>
      </c>
      <c r="H475" s="1115">
        <f t="shared" si="138"/>
        <v>1</v>
      </c>
      <c r="K475" s="1073"/>
      <c r="P475" s="324" t="str">
        <f t="shared" si="141"/>
        <v>5.1 Mineralwolle (MW) [0,038]</v>
      </c>
      <c r="Q475" s="324"/>
      <c r="R475" s="338">
        <f t="shared" si="133"/>
        <v>3.8000000000000006E-2</v>
      </c>
      <c r="S475" s="330" t="str">
        <f t="shared" si="134"/>
        <v>5.1 Mineralwolle (MW)</v>
      </c>
      <c r="T475" s="339"/>
      <c r="U475" s="339" t="str">
        <f t="shared" si="135"/>
        <v>[0,038]</v>
      </c>
      <c r="W475" s="324">
        <f>MATCH(X475,$O$468:O$781,0)+ROW($X$467)</f>
        <v>631</v>
      </c>
      <c r="X475" s="332" t="str">
        <f>O631</f>
        <v>5.7.2 Holzwolle-Platten mit EPS</v>
      </c>
      <c r="Y475" s="324" t="str">
        <f t="shared" si="140"/>
        <v>p631:p651</v>
      </c>
    </row>
    <row r="476" spans="1:25" hidden="1">
      <c r="D476" s="228" t="str">
        <f t="shared" si="137"/>
        <v>5.1 Mineralwolle (MW)</v>
      </c>
      <c r="F476" s="1121">
        <v>3.7999999999999999E-2</v>
      </c>
      <c r="G476" s="216">
        <f t="shared" si="142"/>
        <v>3.9000000000000007E-2</v>
      </c>
      <c r="H476" s="1115">
        <f t="shared" si="138"/>
        <v>1</v>
      </c>
      <c r="K476" s="1073"/>
      <c r="P476" s="324" t="str">
        <f t="shared" si="141"/>
        <v>5.1 Mineralwolle (MW) [0,039]</v>
      </c>
      <c r="Q476" s="324"/>
      <c r="R476" s="338">
        <f t="shared" si="133"/>
        <v>3.9000000000000007E-2</v>
      </c>
      <c r="S476" s="330" t="str">
        <f t="shared" si="134"/>
        <v>5.1 Mineralwolle (MW)</v>
      </c>
      <c r="T476" s="339"/>
      <c r="U476" s="339" t="str">
        <f t="shared" si="135"/>
        <v>[0,039]</v>
      </c>
      <c r="W476" s="324">
        <f>MATCH(X476,$O$468:O$781,0)+ROW($X$467)</f>
        <v>652</v>
      </c>
      <c r="X476" s="332" t="str">
        <f>O652</f>
        <v>5.7.2 Holzwolle-Platten mit MW</v>
      </c>
      <c r="Y476" s="324" t="str">
        <f t="shared" si="140"/>
        <v>p652:p672</v>
      </c>
    </row>
    <row r="477" spans="1:25" hidden="1">
      <c r="D477" s="228" t="str">
        <f t="shared" si="137"/>
        <v>5.1 Mineralwolle (MW)</v>
      </c>
      <c r="F477" s="1121">
        <v>3.9E-2</v>
      </c>
      <c r="G477" s="216">
        <f t="shared" si="142"/>
        <v>4.0000000000000008E-2</v>
      </c>
      <c r="H477" s="1115">
        <f t="shared" si="138"/>
        <v>1</v>
      </c>
      <c r="K477" s="1073"/>
      <c r="P477" s="324" t="str">
        <f t="shared" si="141"/>
        <v>5.1 Mineralwolle (MW) [0,04]</v>
      </c>
      <c r="Q477" s="324"/>
      <c r="R477" s="338">
        <f t="shared" si="133"/>
        <v>4.0000000000000008E-2</v>
      </c>
      <c r="S477" s="330" t="str">
        <f t="shared" si="134"/>
        <v>5.1 Mineralwolle (MW)</v>
      </c>
      <c r="T477" s="339"/>
      <c r="U477" s="339" t="str">
        <f t="shared" si="135"/>
        <v>[0,04]</v>
      </c>
      <c r="W477" s="324">
        <f>MATCH(X477,$O$468:O$781,0)+ROW($X$467)</f>
        <v>673</v>
      </c>
      <c r="X477" s="332" t="str">
        <f>O673</f>
        <v>5.7.2 Holzwolledeckschicht(en)</v>
      </c>
      <c r="Y477" s="324" t="str">
        <f t="shared" si="140"/>
        <v>p673:p677</v>
      </c>
    </row>
    <row r="478" spans="1:25" hidden="1">
      <c r="D478" s="228" t="str">
        <f t="shared" si="137"/>
        <v>5.1 Mineralwolle (MW)</v>
      </c>
      <c r="F478" s="1121">
        <v>0.04</v>
      </c>
      <c r="G478" s="216">
        <f t="shared" si="142"/>
        <v>4.1000000000000009E-2</v>
      </c>
      <c r="H478" s="1115">
        <f t="shared" si="138"/>
        <v>1</v>
      </c>
      <c r="K478" s="1073"/>
      <c r="P478" s="324" t="str">
        <f t="shared" si="141"/>
        <v>5.1 Mineralwolle (MW) [0,041]</v>
      </c>
      <c r="Q478" s="324"/>
      <c r="R478" s="338">
        <f t="shared" si="133"/>
        <v>4.1000000000000009E-2</v>
      </c>
      <c r="S478" s="330" t="str">
        <f t="shared" si="134"/>
        <v>5.1 Mineralwolle (MW)</v>
      </c>
      <c r="T478" s="339"/>
      <c r="U478" s="339" t="str">
        <f t="shared" si="135"/>
        <v>[0,041]</v>
      </c>
      <c r="W478" s="324">
        <f>MATCH(X478,$O$468:O$781,0)+ROW($X$467)</f>
        <v>678</v>
      </c>
      <c r="X478" s="332" t="str">
        <f>O678</f>
        <v>5.8 Blähperlit</v>
      </c>
      <c r="Y478" s="324" t="str">
        <f t="shared" si="140"/>
        <v>p678:p703</v>
      </c>
    </row>
    <row r="479" spans="1:25" hidden="1">
      <c r="D479" s="228" t="str">
        <f t="shared" si="137"/>
        <v>5.1 Mineralwolle (MW)</v>
      </c>
      <c r="F479" s="1121">
        <v>4.1000000000000002E-2</v>
      </c>
      <c r="G479" s="216">
        <f t="shared" si="142"/>
        <v>4.200000000000001E-2</v>
      </c>
      <c r="H479" s="1115">
        <f t="shared" si="138"/>
        <v>1</v>
      </c>
      <c r="K479" s="1073"/>
      <c r="P479" s="324" t="str">
        <f t="shared" si="141"/>
        <v>5.1 Mineralwolle (MW) [0,042]</v>
      </c>
      <c r="Q479" s="324"/>
      <c r="R479" s="338">
        <f t="shared" si="133"/>
        <v>4.200000000000001E-2</v>
      </c>
      <c r="S479" s="330" t="str">
        <f t="shared" si="134"/>
        <v>5.1 Mineralwolle (MW)</v>
      </c>
      <c r="T479" s="339"/>
      <c r="U479" s="339" t="str">
        <f t="shared" si="135"/>
        <v>[0,042]</v>
      </c>
      <c r="W479" s="324">
        <f>MATCH(X479,$O$468:O$781,0)+ROW($X$467)</f>
        <v>704</v>
      </c>
      <c r="X479" s="332" t="str">
        <f>O704</f>
        <v>5.9 Expandierter Kork</v>
      </c>
      <c r="Y479" s="324" t="str">
        <f t="shared" si="140"/>
        <v>p704:p721</v>
      </c>
    </row>
    <row r="480" spans="1:25" hidden="1">
      <c r="D480" s="228" t="str">
        <f t="shared" si="137"/>
        <v>5.1 Mineralwolle (MW)</v>
      </c>
      <c r="F480" s="1121">
        <v>4.2000000000000003E-2</v>
      </c>
      <c r="G480" s="216">
        <f t="shared" si="142"/>
        <v>4.300000000000001E-2</v>
      </c>
      <c r="H480" s="1115">
        <f t="shared" si="138"/>
        <v>1</v>
      </c>
      <c r="K480" s="1073"/>
      <c r="P480" s="324" t="str">
        <f t="shared" si="141"/>
        <v>5.1 Mineralwolle (MW) [0,043]</v>
      </c>
      <c r="Q480" s="324"/>
      <c r="R480" s="338">
        <f t="shared" si="133"/>
        <v>4.300000000000001E-2</v>
      </c>
      <c r="S480" s="330" t="str">
        <f t="shared" si="134"/>
        <v>5.1 Mineralwolle (MW)</v>
      </c>
      <c r="T480" s="339"/>
      <c r="U480" s="339" t="str">
        <f t="shared" si="135"/>
        <v>[0,043]</v>
      </c>
      <c r="W480" s="324">
        <f>MATCH(X480,$O$468:O$781,0)+ROW($X$467)</f>
        <v>722</v>
      </c>
      <c r="X480" s="332" t="str">
        <f>O722</f>
        <v>5.10 Holzfaserdämmstoff</v>
      </c>
      <c r="Y480" s="324" t="str">
        <f t="shared" si="140"/>
        <v>p722:p750</v>
      </c>
    </row>
    <row r="481" spans="2:25" hidden="1">
      <c r="D481" s="228" t="str">
        <f t="shared" si="137"/>
        <v>5.1 Mineralwolle (MW)</v>
      </c>
      <c r="F481" s="1121">
        <v>4.2999999999999997E-2</v>
      </c>
      <c r="G481" s="216">
        <f t="shared" si="142"/>
        <v>4.4000000000000011E-2</v>
      </c>
      <c r="H481" s="1115">
        <f t="shared" si="138"/>
        <v>1</v>
      </c>
      <c r="K481" s="1073"/>
      <c r="P481" s="324" t="str">
        <f t="shared" si="141"/>
        <v>5.1 Mineralwolle (MW) [0,044]</v>
      </c>
      <c r="Q481" s="324"/>
      <c r="R481" s="338">
        <f t="shared" si="133"/>
        <v>4.4000000000000011E-2</v>
      </c>
      <c r="S481" s="330" t="str">
        <f t="shared" si="134"/>
        <v>5.1 Mineralwolle (MW)</v>
      </c>
      <c r="T481" s="339"/>
      <c r="U481" s="339" t="str">
        <f t="shared" si="135"/>
        <v>[0,044]</v>
      </c>
      <c r="W481" s="324">
        <f>MATCH(X481,$O$468:O$781,0)+ROW($X$467)</f>
        <v>751</v>
      </c>
      <c r="X481" s="333" t="str">
        <f>O751</f>
        <v>5.11 Wärmedämmputz</v>
      </c>
      <c r="Y481" s="324" t="str">
        <f t="shared" si="140"/>
        <v>p751:p772</v>
      </c>
    </row>
    <row r="482" spans="2:25" hidden="1">
      <c r="D482" s="228" t="str">
        <f t="shared" si="137"/>
        <v>5.1 Mineralwolle (MW)</v>
      </c>
      <c r="F482" s="1121">
        <v>4.3999999999999997E-2</v>
      </c>
      <c r="G482" s="216">
        <f t="shared" si="142"/>
        <v>4.5000000000000012E-2</v>
      </c>
      <c r="H482" s="1115">
        <f t="shared" si="138"/>
        <v>1</v>
      </c>
      <c r="K482" s="1073"/>
      <c r="P482" s="324" t="str">
        <f t="shared" si="141"/>
        <v>5.1 Mineralwolle (MW) [0,045]</v>
      </c>
      <c r="Q482" s="324"/>
      <c r="R482" s="338">
        <f t="shared" si="133"/>
        <v>4.5000000000000012E-2</v>
      </c>
      <c r="S482" s="330" t="str">
        <f t="shared" si="134"/>
        <v>5.1 Mineralwolle (MW)</v>
      </c>
      <c r="T482" s="339"/>
      <c r="U482" s="339" t="str">
        <f t="shared" si="135"/>
        <v>[0,045]</v>
      </c>
      <c r="W482" s="324">
        <f>MATCH(X482,$O$468:O$781,0)+ROW($X$467)</f>
        <v>773</v>
      </c>
      <c r="X482" s="342" t="str">
        <f>O773</f>
        <v>ENDE</v>
      </c>
    </row>
    <row r="483" spans="2:25" hidden="1">
      <c r="D483" s="228" t="str">
        <f t="shared" si="137"/>
        <v>5.1 Mineralwolle (MW)</v>
      </c>
      <c r="F483" s="1121">
        <v>4.4999999999999998E-2</v>
      </c>
      <c r="G483" s="216">
        <f t="shared" si="142"/>
        <v>4.6000000000000013E-2</v>
      </c>
      <c r="H483" s="1115">
        <f t="shared" si="138"/>
        <v>1</v>
      </c>
      <c r="K483" s="1073"/>
      <c r="P483" s="324" t="str">
        <f t="shared" si="141"/>
        <v>5.1 Mineralwolle (MW) [0,046]</v>
      </c>
      <c r="Q483" s="324"/>
      <c r="R483" s="338">
        <f t="shared" si="133"/>
        <v>4.6000000000000013E-2</v>
      </c>
      <c r="S483" s="330" t="str">
        <f t="shared" si="134"/>
        <v>5.1 Mineralwolle (MW)</v>
      </c>
      <c r="T483" s="339"/>
      <c r="U483" s="339" t="str">
        <f t="shared" si="135"/>
        <v>[0,046]</v>
      </c>
    </row>
    <row r="484" spans="2:25" hidden="1">
      <c r="D484" s="228" t="str">
        <f t="shared" si="137"/>
        <v>5.1 Mineralwolle (MW)</v>
      </c>
      <c r="F484" s="1121">
        <v>4.5999999999999999E-2</v>
      </c>
      <c r="G484" s="216">
        <f>G483+0.001</f>
        <v>4.7000000000000014E-2</v>
      </c>
      <c r="H484" s="1115">
        <f t="shared" si="138"/>
        <v>1</v>
      </c>
      <c r="K484" s="1073"/>
      <c r="P484" s="324" t="str">
        <f t="shared" si="141"/>
        <v>5.1 Mineralwolle (MW) [0,047]</v>
      </c>
      <c r="Q484" s="324"/>
      <c r="R484" s="338">
        <f t="shared" si="133"/>
        <v>4.7000000000000014E-2</v>
      </c>
      <c r="S484" s="330" t="str">
        <f t="shared" si="134"/>
        <v>5.1 Mineralwolle (MW)</v>
      </c>
      <c r="T484" s="339"/>
      <c r="U484" s="339" t="str">
        <f t="shared" si="135"/>
        <v>[0,047]</v>
      </c>
    </row>
    <row r="485" spans="2:25" hidden="1">
      <c r="D485" s="228" t="str">
        <f t="shared" si="137"/>
        <v>5.1 Mineralwolle (MW)</v>
      </c>
      <c r="F485" s="1121">
        <v>4.7E-2</v>
      </c>
      <c r="G485" s="216">
        <f>G484+0.001</f>
        <v>4.8000000000000015E-2</v>
      </c>
      <c r="H485" s="1115">
        <f t="shared" si="138"/>
        <v>1</v>
      </c>
      <c r="K485" s="1073"/>
      <c r="P485" s="324" t="str">
        <f t="shared" si="141"/>
        <v>5.1 Mineralwolle (MW) [0,048]</v>
      </c>
      <c r="Q485" s="324"/>
      <c r="R485" s="338">
        <f t="shared" si="133"/>
        <v>4.8000000000000015E-2</v>
      </c>
      <c r="S485" s="330" t="str">
        <f t="shared" si="134"/>
        <v>5.1 Mineralwolle (MW)</v>
      </c>
      <c r="T485" s="339"/>
      <c r="U485" s="339" t="str">
        <f t="shared" si="135"/>
        <v>[0,048]</v>
      </c>
    </row>
    <row r="486" spans="2:25" hidden="1">
      <c r="D486" s="228" t="str">
        <f t="shared" si="137"/>
        <v>5.1 Mineralwolle (MW)</v>
      </c>
      <c r="F486" s="1121">
        <v>4.8000000000000001E-2</v>
      </c>
      <c r="G486" s="216">
        <f>G485+0.001</f>
        <v>4.9000000000000016E-2</v>
      </c>
      <c r="H486" s="1115">
        <f t="shared" si="138"/>
        <v>1</v>
      </c>
      <c r="K486" s="1073"/>
      <c r="P486" s="324" t="str">
        <f t="shared" si="141"/>
        <v>5.1 Mineralwolle (MW) [0,049]</v>
      </c>
      <c r="Q486" s="324"/>
      <c r="R486" s="338">
        <f t="shared" si="133"/>
        <v>4.9000000000000016E-2</v>
      </c>
      <c r="S486" s="330" t="str">
        <f t="shared" si="134"/>
        <v>5.1 Mineralwolle (MW)</v>
      </c>
      <c r="T486" s="339"/>
      <c r="U486" s="339" t="str">
        <f t="shared" si="135"/>
        <v>[0,049]</v>
      </c>
    </row>
    <row r="487" spans="2:25" hidden="1">
      <c r="D487" s="228" t="str">
        <f t="shared" si="137"/>
        <v>5.1 Mineralwolle (MW)</v>
      </c>
      <c r="F487" s="1121">
        <v>4.9000000000000002E-2</v>
      </c>
      <c r="G487" s="213">
        <f>G486+0.001</f>
        <v>5.0000000000000017E-2</v>
      </c>
      <c r="H487" s="1115">
        <f t="shared" si="138"/>
        <v>1</v>
      </c>
      <c r="K487" s="1073"/>
      <c r="P487" s="324" t="str">
        <f t="shared" si="141"/>
        <v>5.1 Mineralwolle (MW) [0,05]</v>
      </c>
      <c r="Q487" s="324"/>
      <c r="R487" s="338">
        <f t="shared" si="133"/>
        <v>5.0000000000000017E-2</v>
      </c>
      <c r="S487" s="330" t="str">
        <f t="shared" si="134"/>
        <v>5.1 Mineralwolle (MW)</v>
      </c>
      <c r="T487" s="339"/>
      <c r="U487" s="339" t="str">
        <f t="shared" si="135"/>
        <v>[0,05]</v>
      </c>
    </row>
    <row r="488" spans="2:25" hidden="1">
      <c r="D488" s="228" t="str">
        <f t="shared" si="137"/>
        <v>5.1 Mineralwolle (MW)</v>
      </c>
      <c r="F488" s="1121">
        <v>0.05</v>
      </c>
      <c r="G488" s="213">
        <v>5.1999999999999998E-2</v>
      </c>
      <c r="H488" s="1115">
        <f t="shared" si="138"/>
        <v>1</v>
      </c>
      <c r="K488" s="1073"/>
      <c r="O488" s="324" t="str">
        <f t="shared" ref="O488:O497" si="143">IF(AND(B488&gt;0,B488,LEFT(B488,1)&lt;&gt;" "),B488,"")</f>
        <v/>
      </c>
      <c r="P488" s="324" t="str">
        <f t="shared" si="141"/>
        <v>5.1 Mineralwolle (MW) [0,052]</v>
      </c>
      <c r="Q488" s="324"/>
      <c r="R488" s="338">
        <f t="shared" si="133"/>
        <v>5.1999999999999998E-2</v>
      </c>
      <c r="S488" s="330" t="str">
        <f t="shared" si="134"/>
        <v>5.1 Mineralwolle (MW)</v>
      </c>
      <c r="T488" s="339"/>
      <c r="U488" s="339" t="str">
        <f t="shared" si="135"/>
        <v>[0,052]</v>
      </c>
    </row>
    <row r="489" spans="2:25" hidden="1">
      <c r="B489" s="213" t="s">
        <v>1465</v>
      </c>
      <c r="D489" s="213" t="s">
        <v>1847</v>
      </c>
      <c r="F489" s="1121">
        <v>0.03</v>
      </c>
      <c r="G489" s="213">
        <v>3.1E-2</v>
      </c>
      <c r="H489" s="521" t="s">
        <v>1466</v>
      </c>
      <c r="I489" s="213" t="s">
        <v>802</v>
      </c>
      <c r="K489" s="1073"/>
      <c r="O489" s="324" t="str">
        <f t="shared" si="143"/>
        <v>5.2 Expandierter Polystyrolschaum</v>
      </c>
      <c r="P489" s="324" t="str">
        <f t="shared" ref="P489:P497" si="144">S489&amp;IF(T489&lt;&gt;""," "&amp;T489,"")&amp;IF(U489&lt;&gt;""," "&amp;U489,"")&amp;IF(V489&lt;&gt;""," "&amp;V489,"")</f>
        <v>5.2 Expand. Polystyrols. (EPS) [0,031] (Expandierter Polystyrolschaum)</v>
      </c>
      <c r="Q489" s="324"/>
      <c r="R489" s="338">
        <f t="shared" si="133"/>
        <v>3.1E-2</v>
      </c>
      <c r="S489" s="1118" t="s">
        <v>1868</v>
      </c>
      <c r="T489" s="339"/>
      <c r="U489" s="339" t="str">
        <f t="shared" si="135"/>
        <v>[0,031]</v>
      </c>
      <c r="V489" s="1118" t="s">
        <v>1703</v>
      </c>
    </row>
    <row r="490" spans="2:25" ht="12" hidden="1" customHeight="1">
      <c r="B490" s="1353" t="s">
        <v>1866</v>
      </c>
      <c r="C490" s="1353"/>
      <c r="D490" s="228" t="str">
        <f t="shared" ref="D490:D529" si="145">D489</f>
        <v>5.2 Expandierter Polystyrolschaum (EPS)</v>
      </c>
      <c r="F490" s="1121">
        <v>3.1E-2</v>
      </c>
      <c r="G490" s="213">
        <v>3.2000000000000001E-2</v>
      </c>
      <c r="H490" s="1115" t="str">
        <f t="shared" si="138"/>
        <v>20/100</v>
      </c>
      <c r="K490" s="1073"/>
      <c r="O490" s="324" t="str">
        <f t="shared" si="143"/>
        <v/>
      </c>
      <c r="P490" s="324" t="str">
        <f t="shared" si="144"/>
        <v>5.2 Expand. Polystyrols. (EPS) [0,032] (Expandierter Polystyrolschaum)</v>
      </c>
      <c r="Q490" s="324"/>
      <c r="R490" s="338">
        <f t="shared" si="133"/>
        <v>3.2000000000000001E-2</v>
      </c>
      <c r="S490" s="1118" t="s">
        <v>1868</v>
      </c>
      <c r="T490" s="339"/>
      <c r="U490" s="339" t="str">
        <f t="shared" si="135"/>
        <v>[0,032]</v>
      </c>
      <c r="V490" s="1118" t="s">
        <v>1703</v>
      </c>
    </row>
    <row r="491" spans="2:25" hidden="1">
      <c r="B491" s="1353"/>
      <c r="C491" s="1353"/>
      <c r="D491" s="228" t="str">
        <f t="shared" si="145"/>
        <v>5.2 Expandierter Polystyrolschaum (EPS)</v>
      </c>
      <c r="F491" s="1121">
        <f>F490+0.001</f>
        <v>3.2000000000000001E-2</v>
      </c>
      <c r="G491" s="216">
        <f>G490+0.001</f>
        <v>3.3000000000000002E-2</v>
      </c>
      <c r="H491" s="1115" t="str">
        <f t="shared" si="138"/>
        <v>20/100</v>
      </c>
      <c r="K491" s="1073"/>
      <c r="O491" s="324" t="str">
        <f t="shared" si="143"/>
        <v/>
      </c>
      <c r="P491" s="324" t="str">
        <f t="shared" si="144"/>
        <v>5.2 Expand. Polystyrols. (EPS) [0,033] (Expandierter Polystyrolschaum)</v>
      </c>
      <c r="Q491" s="324"/>
      <c r="R491" s="338">
        <f t="shared" si="133"/>
        <v>3.3000000000000002E-2</v>
      </c>
      <c r="S491" s="1118" t="s">
        <v>1868</v>
      </c>
      <c r="T491" s="339"/>
      <c r="U491" s="339" t="str">
        <f t="shared" si="135"/>
        <v>[0,033]</v>
      </c>
      <c r="V491" s="1118" t="s">
        <v>1703</v>
      </c>
    </row>
    <row r="492" spans="2:25" hidden="1">
      <c r="D492" s="228" t="str">
        <f t="shared" si="145"/>
        <v>5.2 Expandierter Polystyrolschaum (EPS)</v>
      </c>
      <c r="F492" s="1121">
        <f t="shared" ref="F492:F508" si="146">F491+0.001</f>
        <v>3.3000000000000002E-2</v>
      </c>
      <c r="G492" s="216">
        <f t="shared" ref="G492:G508" si="147">G491+0.001</f>
        <v>3.4000000000000002E-2</v>
      </c>
      <c r="H492" s="1115" t="str">
        <f t="shared" si="138"/>
        <v>20/100</v>
      </c>
      <c r="K492" s="1073"/>
      <c r="O492" s="324" t="str">
        <f t="shared" si="143"/>
        <v/>
      </c>
      <c r="P492" s="324" t="str">
        <f t="shared" si="144"/>
        <v>5.2 Expand. Polystyrols. (EPS) [0,034] (Expandierter Polystyrolschaum)</v>
      </c>
      <c r="Q492" s="324"/>
      <c r="R492" s="338">
        <f t="shared" si="133"/>
        <v>3.4000000000000002E-2</v>
      </c>
      <c r="S492" s="1118" t="s">
        <v>1868</v>
      </c>
      <c r="T492" s="339"/>
      <c r="U492" s="339" t="str">
        <f t="shared" si="135"/>
        <v>[0,034]</v>
      </c>
      <c r="V492" s="1118" t="s">
        <v>1703</v>
      </c>
    </row>
    <row r="493" spans="2:25" hidden="1">
      <c r="D493" s="228" t="str">
        <f t="shared" si="145"/>
        <v>5.2 Expandierter Polystyrolschaum (EPS)</v>
      </c>
      <c r="F493" s="1121">
        <f t="shared" si="146"/>
        <v>3.4000000000000002E-2</v>
      </c>
      <c r="G493" s="216">
        <f t="shared" si="147"/>
        <v>3.5000000000000003E-2</v>
      </c>
      <c r="H493" s="1115" t="str">
        <f t="shared" si="138"/>
        <v>20/100</v>
      </c>
      <c r="K493" s="1073"/>
      <c r="O493" s="324" t="str">
        <f t="shared" si="143"/>
        <v/>
      </c>
      <c r="P493" s="324" t="str">
        <f t="shared" si="144"/>
        <v>5.2 Expand. Polystyrols. (EPS) [0,035] (Expandierter Polystyrolschaum)</v>
      </c>
      <c r="Q493" s="324"/>
      <c r="R493" s="338">
        <f t="shared" si="133"/>
        <v>3.5000000000000003E-2</v>
      </c>
      <c r="S493" s="1118" t="s">
        <v>1868</v>
      </c>
      <c r="T493" s="339"/>
      <c r="U493" s="339" t="str">
        <f t="shared" si="135"/>
        <v>[0,035]</v>
      </c>
      <c r="V493" s="1118" t="s">
        <v>1703</v>
      </c>
    </row>
    <row r="494" spans="2:25" hidden="1">
      <c r="D494" s="228" t="str">
        <f t="shared" si="145"/>
        <v>5.2 Expandierter Polystyrolschaum (EPS)</v>
      </c>
      <c r="F494" s="1121">
        <f t="shared" si="146"/>
        <v>3.5000000000000003E-2</v>
      </c>
      <c r="G494" s="216">
        <f t="shared" si="147"/>
        <v>3.6000000000000004E-2</v>
      </c>
      <c r="H494" s="1115" t="str">
        <f t="shared" si="138"/>
        <v>20/100</v>
      </c>
      <c r="K494" s="1073"/>
      <c r="O494" s="324" t="str">
        <f t="shared" si="143"/>
        <v/>
      </c>
      <c r="P494" s="324" t="str">
        <f t="shared" si="144"/>
        <v>5.2 Expand. Polystyrols. (EPS) [0,036] (Expandierter Polystyrolschaum)</v>
      </c>
      <c r="Q494" s="324"/>
      <c r="R494" s="338">
        <f t="shared" si="133"/>
        <v>3.6000000000000004E-2</v>
      </c>
      <c r="S494" s="1118" t="s">
        <v>1868</v>
      </c>
      <c r="T494" s="339"/>
      <c r="U494" s="339" t="str">
        <f t="shared" si="135"/>
        <v>[0,036]</v>
      </c>
      <c r="V494" s="1118" t="s">
        <v>1703</v>
      </c>
    </row>
    <row r="495" spans="2:25" hidden="1">
      <c r="D495" s="228" t="str">
        <f t="shared" si="145"/>
        <v>5.2 Expandierter Polystyrolschaum (EPS)</v>
      </c>
      <c r="F495" s="1121">
        <f t="shared" si="146"/>
        <v>3.6000000000000004E-2</v>
      </c>
      <c r="G495" s="216">
        <f t="shared" si="147"/>
        <v>3.7000000000000005E-2</v>
      </c>
      <c r="H495" s="1115" t="str">
        <f t="shared" si="138"/>
        <v>20/100</v>
      </c>
      <c r="K495" s="1073"/>
      <c r="O495" s="324" t="str">
        <f t="shared" si="143"/>
        <v/>
      </c>
      <c r="P495" s="324" t="str">
        <f t="shared" si="144"/>
        <v>5.2 Expand. Polystyrols. (EPS) [0,037] (Expandierter Polystyrolschaum)</v>
      </c>
      <c r="Q495" s="324"/>
      <c r="R495" s="338">
        <f t="shared" si="133"/>
        <v>3.7000000000000005E-2</v>
      </c>
      <c r="S495" s="1118" t="s">
        <v>1868</v>
      </c>
      <c r="T495" s="339"/>
      <c r="U495" s="339" t="str">
        <f t="shared" si="135"/>
        <v>[0,037]</v>
      </c>
      <c r="V495" s="1118" t="s">
        <v>1703</v>
      </c>
    </row>
    <row r="496" spans="2:25" hidden="1">
      <c r="D496" s="228" t="str">
        <f t="shared" si="145"/>
        <v>5.2 Expandierter Polystyrolschaum (EPS)</v>
      </c>
      <c r="F496" s="1121">
        <f t="shared" si="146"/>
        <v>3.7000000000000005E-2</v>
      </c>
      <c r="G496" s="216">
        <f t="shared" si="147"/>
        <v>3.8000000000000006E-2</v>
      </c>
      <c r="H496" s="1115" t="str">
        <f t="shared" si="138"/>
        <v>20/100</v>
      </c>
      <c r="K496" s="1073"/>
      <c r="O496" s="324" t="str">
        <f t="shared" si="143"/>
        <v/>
      </c>
      <c r="P496" s="324" t="str">
        <f t="shared" si="144"/>
        <v>5.2 Expand. Polystyrols. (EPS) [0,038] (Expandierter Polystyrolschaum)</v>
      </c>
      <c r="Q496" s="324"/>
      <c r="R496" s="338">
        <f t="shared" si="133"/>
        <v>3.8000000000000006E-2</v>
      </c>
      <c r="S496" s="1118" t="s">
        <v>1868</v>
      </c>
      <c r="T496" s="339"/>
      <c r="U496" s="339" t="str">
        <f t="shared" si="135"/>
        <v>[0,038]</v>
      </c>
      <c r="V496" s="1118" t="s">
        <v>1703</v>
      </c>
    </row>
    <row r="497" spans="2:22" hidden="1">
      <c r="D497" s="228" t="str">
        <f t="shared" si="145"/>
        <v>5.2 Expandierter Polystyrolschaum (EPS)</v>
      </c>
      <c r="F497" s="1121">
        <f t="shared" si="146"/>
        <v>3.8000000000000006E-2</v>
      </c>
      <c r="G497" s="216">
        <f t="shared" si="147"/>
        <v>3.9000000000000007E-2</v>
      </c>
      <c r="H497" s="1115" t="str">
        <f t="shared" si="138"/>
        <v>20/100</v>
      </c>
      <c r="K497" s="1073"/>
      <c r="O497" s="324" t="str">
        <f t="shared" si="143"/>
        <v/>
      </c>
      <c r="P497" s="324" t="str">
        <f t="shared" si="144"/>
        <v>5.2 Expand. Polystyrols. (EPS) [0,039] (Expandierter Polystyrolschaum)</v>
      </c>
      <c r="Q497" s="324"/>
      <c r="R497" s="338">
        <f t="shared" si="133"/>
        <v>3.9000000000000007E-2</v>
      </c>
      <c r="S497" s="1118" t="s">
        <v>1868</v>
      </c>
      <c r="T497" s="339"/>
      <c r="U497" s="339" t="str">
        <f t="shared" si="135"/>
        <v>[0,039]</v>
      </c>
      <c r="V497" s="1118" t="s">
        <v>1703</v>
      </c>
    </row>
    <row r="498" spans="2:22" hidden="1">
      <c r="D498" s="228" t="str">
        <f t="shared" si="145"/>
        <v>5.2 Expandierter Polystyrolschaum (EPS)</v>
      </c>
      <c r="F498" s="1121">
        <f t="shared" si="146"/>
        <v>3.9000000000000007E-2</v>
      </c>
      <c r="G498" s="216">
        <f t="shared" si="147"/>
        <v>4.0000000000000008E-2</v>
      </c>
      <c r="H498" s="1115" t="str">
        <f t="shared" si="138"/>
        <v>20/100</v>
      </c>
      <c r="K498" s="1073"/>
      <c r="P498" s="324" t="str">
        <f t="shared" ref="P498:P509" si="148">S498&amp;IF(T498&lt;&gt;""," "&amp;T498,"")&amp;IF(U498&lt;&gt;""," "&amp;U498,"")&amp;IF(V498&lt;&gt;""," "&amp;V498,"")</f>
        <v>5.2 Expand. Polystyrols. (EPS) [0,04] (Expandierter Polystyrolschaum)</v>
      </c>
      <c r="Q498" s="324"/>
      <c r="R498" s="338">
        <f t="shared" si="133"/>
        <v>4.0000000000000008E-2</v>
      </c>
      <c r="S498" s="1118" t="s">
        <v>1868</v>
      </c>
      <c r="T498" s="339"/>
      <c r="U498" s="339" t="str">
        <f t="shared" si="135"/>
        <v>[0,04]</v>
      </c>
      <c r="V498" s="1118" t="s">
        <v>1703</v>
      </c>
    </row>
    <row r="499" spans="2:22" hidden="1">
      <c r="D499" s="228" t="str">
        <f t="shared" si="145"/>
        <v>5.2 Expandierter Polystyrolschaum (EPS)</v>
      </c>
      <c r="F499" s="1121">
        <f t="shared" si="146"/>
        <v>4.0000000000000008E-2</v>
      </c>
      <c r="G499" s="216">
        <f t="shared" si="147"/>
        <v>4.1000000000000009E-2</v>
      </c>
      <c r="H499" s="1115" t="str">
        <f t="shared" si="138"/>
        <v>20/100</v>
      </c>
      <c r="K499" s="1073"/>
      <c r="P499" s="324" t="str">
        <f t="shared" si="148"/>
        <v>5.2 Expand. Polystyrols. (EPS) [0,041] (Expandierter Polystyrolschaum)</v>
      </c>
      <c r="Q499" s="324"/>
      <c r="R499" s="338">
        <f t="shared" si="133"/>
        <v>4.1000000000000009E-2</v>
      </c>
      <c r="S499" s="1118" t="s">
        <v>1868</v>
      </c>
      <c r="T499" s="339"/>
      <c r="U499" s="339" t="str">
        <f t="shared" si="135"/>
        <v>[0,041]</v>
      </c>
      <c r="V499" s="1118" t="s">
        <v>1703</v>
      </c>
    </row>
    <row r="500" spans="2:22" hidden="1">
      <c r="D500" s="228" t="str">
        <f t="shared" si="145"/>
        <v>5.2 Expandierter Polystyrolschaum (EPS)</v>
      </c>
      <c r="F500" s="1121">
        <f t="shared" si="146"/>
        <v>4.1000000000000009E-2</v>
      </c>
      <c r="G500" s="216">
        <f t="shared" si="147"/>
        <v>4.200000000000001E-2</v>
      </c>
      <c r="H500" s="1115" t="str">
        <f t="shared" si="138"/>
        <v>20/100</v>
      </c>
      <c r="K500" s="1073"/>
      <c r="P500" s="324" t="str">
        <f t="shared" si="148"/>
        <v>5.2 Expand. Polystyrols. (EPS) [0,042] (Expandierter Polystyrolschaum)</v>
      </c>
      <c r="Q500" s="324"/>
      <c r="R500" s="338">
        <f t="shared" si="133"/>
        <v>4.200000000000001E-2</v>
      </c>
      <c r="S500" s="1118" t="s">
        <v>1868</v>
      </c>
      <c r="T500" s="339"/>
      <c r="U500" s="339" t="str">
        <f t="shared" si="135"/>
        <v>[0,042]</v>
      </c>
      <c r="V500" s="1118" t="s">
        <v>1703</v>
      </c>
    </row>
    <row r="501" spans="2:22" hidden="1">
      <c r="D501" s="228" t="str">
        <f t="shared" si="145"/>
        <v>5.2 Expandierter Polystyrolschaum (EPS)</v>
      </c>
      <c r="F501" s="1121">
        <f t="shared" si="146"/>
        <v>4.200000000000001E-2</v>
      </c>
      <c r="G501" s="216">
        <f t="shared" si="147"/>
        <v>4.300000000000001E-2</v>
      </c>
      <c r="H501" s="1115" t="str">
        <f t="shared" si="138"/>
        <v>20/100</v>
      </c>
      <c r="K501" s="1073"/>
      <c r="P501" s="324" t="str">
        <f t="shared" si="148"/>
        <v>5.2 Expand. Polystyrols. (EPS) [0,043] (Expandierter Polystyrolschaum)</v>
      </c>
      <c r="Q501" s="324"/>
      <c r="R501" s="338">
        <f t="shared" si="133"/>
        <v>4.300000000000001E-2</v>
      </c>
      <c r="S501" s="1118" t="s">
        <v>1868</v>
      </c>
      <c r="T501" s="339"/>
      <c r="U501" s="339" t="str">
        <f t="shared" si="135"/>
        <v>[0,043]</v>
      </c>
      <c r="V501" s="1118" t="s">
        <v>1703</v>
      </c>
    </row>
    <row r="502" spans="2:22" hidden="1">
      <c r="D502" s="228" t="str">
        <f t="shared" si="145"/>
        <v>5.2 Expandierter Polystyrolschaum (EPS)</v>
      </c>
      <c r="F502" s="1121">
        <f t="shared" si="146"/>
        <v>4.300000000000001E-2</v>
      </c>
      <c r="G502" s="216">
        <f t="shared" si="147"/>
        <v>4.4000000000000011E-2</v>
      </c>
      <c r="H502" s="1115" t="str">
        <f t="shared" si="138"/>
        <v>20/100</v>
      </c>
      <c r="K502" s="1073"/>
      <c r="P502" s="324" t="str">
        <f t="shared" si="148"/>
        <v>5.2 Expand. Polystyrols. (EPS) [0,044] (Expandierter Polystyrolschaum)</v>
      </c>
      <c r="Q502" s="324"/>
      <c r="R502" s="338">
        <f t="shared" si="133"/>
        <v>4.4000000000000011E-2</v>
      </c>
      <c r="S502" s="1118" t="s">
        <v>1868</v>
      </c>
      <c r="T502" s="339"/>
      <c r="U502" s="339" t="str">
        <f t="shared" si="135"/>
        <v>[0,044]</v>
      </c>
      <c r="V502" s="1118" t="s">
        <v>1703</v>
      </c>
    </row>
    <row r="503" spans="2:22" hidden="1">
      <c r="D503" s="228" t="str">
        <f t="shared" si="145"/>
        <v>5.2 Expandierter Polystyrolschaum (EPS)</v>
      </c>
      <c r="F503" s="1121">
        <f t="shared" si="146"/>
        <v>4.4000000000000011E-2</v>
      </c>
      <c r="G503" s="216">
        <f t="shared" si="147"/>
        <v>4.5000000000000012E-2</v>
      </c>
      <c r="H503" s="1115" t="str">
        <f t="shared" si="138"/>
        <v>20/100</v>
      </c>
      <c r="K503" s="1073"/>
      <c r="P503" s="324" t="str">
        <f t="shared" si="148"/>
        <v>5.2 Expand. Polystyrols. (EPS) [0,045] (Expandierter Polystyrolschaum)</v>
      </c>
      <c r="Q503" s="324"/>
      <c r="R503" s="338">
        <f t="shared" si="133"/>
        <v>4.5000000000000012E-2</v>
      </c>
      <c r="S503" s="1118" t="s">
        <v>1868</v>
      </c>
      <c r="T503" s="339"/>
      <c r="U503" s="339" t="str">
        <f t="shared" si="135"/>
        <v>[0,045]</v>
      </c>
      <c r="V503" s="1118" t="s">
        <v>1703</v>
      </c>
    </row>
    <row r="504" spans="2:22" hidden="1">
      <c r="D504" s="228" t="str">
        <f t="shared" si="145"/>
        <v>5.2 Expandierter Polystyrolschaum (EPS)</v>
      </c>
      <c r="F504" s="1121">
        <f t="shared" si="146"/>
        <v>4.5000000000000012E-2</v>
      </c>
      <c r="G504" s="216">
        <f t="shared" si="147"/>
        <v>4.6000000000000013E-2</v>
      </c>
      <c r="H504" s="1115" t="str">
        <f t="shared" si="138"/>
        <v>20/100</v>
      </c>
      <c r="K504" s="1073"/>
      <c r="P504" s="324" t="str">
        <f t="shared" si="148"/>
        <v>5.2 Expand. Polystyrols. (EPS) [0,046] (Expandierter Polystyrolschaum)</v>
      </c>
      <c r="Q504" s="324"/>
      <c r="R504" s="338">
        <f t="shared" si="133"/>
        <v>4.6000000000000013E-2</v>
      </c>
      <c r="S504" s="1118" t="s">
        <v>1868</v>
      </c>
      <c r="T504" s="339"/>
      <c r="U504" s="339" t="str">
        <f t="shared" si="135"/>
        <v>[0,046]</v>
      </c>
      <c r="V504" s="1118" t="s">
        <v>1703</v>
      </c>
    </row>
    <row r="505" spans="2:22" hidden="1">
      <c r="D505" s="228" t="str">
        <f t="shared" si="145"/>
        <v>5.2 Expandierter Polystyrolschaum (EPS)</v>
      </c>
      <c r="F505" s="1121">
        <f t="shared" si="146"/>
        <v>4.6000000000000013E-2</v>
      </c>
      <c r="G505" s="216">
        <f t="shared" si="147"/>
        <v>4.7000000000000014E-2</v>
      </c>
      <c r="H505" s="1115" t="str">
        <f t="shared" si="138"/>
        <v>20/100</v>
      </c>
      <c r="K505" s="1073"/>
      <c r="P505" s="324" t="str">
        <f t="shared" si="148"/>
        <v>5.2 Expand. Polystyrols. (EPS) [0,047] (Expandierter Polystyrolschaum)</v>
      </c>
      <c r="Q505" s="324"/>
      <c r="R505" s="338">
        <f t="shared" si="133"/>
        <v>4.7000000000000014E-2</v>
      </c>
      <c r="S505" s="1118" t="s">
        <v>1868</v>
      </c>
      <c r="T505" s="339"/>
      <c r="U505" s="339" t="str">
        <f t="shared" si="135"/>
        <v>[0,047]</v>
      </c>
      <c r="V505" s="1118" t="s">
        <v>1703</v>
      </c>
    </row>
    <row r="506" spans="2:22" hidden="1">
      <c r="D506" s="228" t="str">
        <f t="shared" si="145"/>
        <v>5.2 Expandierter Polystyrolschaum (EPS)</v>
      </c>
      <c r="F506" s="1121">
        <f t="shared" si="146"/>
        <v>4.7000000000000014E-2</v>
      </c>
      <c r="G506" s="216">
        <f t="shared" si="147"/>
        <v>4.8000000000000015E-2</v>
      </c>
      <c r="H506" s="1115" t="str">
        <f t="shared" si="138"/>
        <v>20/100</v>
      </c>
      <c r="K506" s="1073"/>
      <c r="P506" s="324" t="str">
        <f t="shared" si="148"/>
        <v>5.2 Expand. Polystyrols. (EPS) [0,048] (Expandierter Polystyrolschaum)</v>
      </c>
      <c r="Q506" s="324"/>
      <c r="R506" s="338">
        <f t="shared" si="133"/>
        <v>4.8000000000000015E-2</v>
      </c>
      <c r="S506" s="1118" t="s">
        <v>1868</v>
      </c>
      <c r="T506" s="339"/>
      <c r="U506" s="339" t="str">
        <f t="shared" si="135"/>
        <v>[0,048]</v>
      </c>
      <c r="V506" s="1118" t="s">
        <v>1703</v>
      </c>
    </row>
    <row r="507" spans="2:22" hidden="1">
      <c r="D507" s="228" t="str">
        <f t="shared" si="145"/>
        <v>5.2 Expandierter Polystyrolschaum (EPS)</v>
      </c>
      <c r="F507" s="1121">
        <f t="shared" si="146"/>
        <v>4.8000000000000015E-2</v>
      </c>
      <c r="G507" s="216">
        <f t="shared" si="147"/>
        <v>4.9000000000000016E-2</v>
      </c>
      <c r="H507" s="1115" t="str">
        <f t="shared" si="138"/>
        <v>20/100</v>
      </c>
      <c r="K507" s="1073"/>
      <c r="P507" s="324" t="str">
        <f t="shared" si="148"/>
        <v>5.2 Expand. Polystyrols. (EPS) [0,049] (Expandierter Polystyrolschaum)</v>
      </c>
      <c r="Q507" s="324"/>
      <c r="R507" s="338">
        <f t="shared" si="133"/>
        <v>4.9000000000000016E-2</v>
      </c>
      <c r="S507" s="1118" t="s">
        <v>1868</v>
      </c>
      <c r="T507" s="339"/>
      <c r="U507" s="339" t="str">
        <f t="shared" si="135"/>
        <v>[0,049]</v>
      </c>
      <c r="V507" s="1118" t="s">
        <v>1703</v>
      </c>
    </row>
    <row r="508" spans="2:22" hidden="1">
      <c r="D508" s="228" t="str">
        <f t="shared" si="145"/>
        <v>5.2 Expandierter Polystyrolschaum (EPS)</v>
      </c>
      <c r="F508" s="1121">
        <f t="shared" si="146"/>
        <v>4.9000000000000016E-2</v>
      </c>
      <c r="G508" s="213">
        <f t="shared" si="147"/>
        <v>5.0000000000000017E-2</v>
      </c>
      <c r="H508" s="1115" t="str">
        <f t="shared" si="138"/>
        <v>20/100</v>
      </c>
      <c r="K508" s="1073"/>
      <c r="P508" s="324" t="str">
        <f t="shared" si="148"/>
        <v>5.2 Expand. Polystyrols. (EPS) [0,05] (Expandierter Polystyrolschaum)</v>
      </c>
      <c r="Q508" s="324"/>
      <c r="R508" s="338">
        <f t="shared" si="133"/>
        <v>5.0000000000000017E-2</v>
      </c>
      <c r="S508" s="1118" t="s">
        <v>1868</v>
      </c>
      <c r="T508" s="339"/>
      <c r="U508" s="339" t="str">
        <f t="shared" si="135"/>
        <v>[0,05]</v>
      </c>
      <c r="V508" s="1118" t="s">
        <v>1703</v>
      </c>
    </row>
    <row r="509" spans="2:22" hidden="1">
      <c r="D509" s="228" t="str">
        <f t="shared" si="145"/>
        <v>5.2 Expandierter Polystyrolschaum (EPS)</v>
      </c>
      <c r="F509" s="1121">
        <v>0.05</v>
      </c>
      <c r="G509" s="213">
        <v>0.52</v>
      </c>
      <c r="H509" s="1115" t="str">
        <f t="shared" si="138"/>
        <v>20/100</v>
      </c>
      <c r="K509" s="1073"/>
      <c r="O509" s="324" t="str">
        <f>IF(AND(B509&gt;0,B509,LEFT(B509,1)&lt;&gt;" "),B509,"")</f>
        <v/>
      </c>
      <c r="P509" s="324" t="str">
        <f t="shared" si="148"/>
        <v>5.2 Expand. Polystyrols. (EPS) [0,52] (Expandierter Polystyrolschaum)</v>
      </c>
      <c r="Q509" s="324"/>
      <c r="R509" s="338">
        <f t="shared" si="133"/>
        <v>0.52</v>
      </c>
      <c r="S509" s="1118" t="s">
        <v>1868</v>
      </c>
      <c r="T509" s="339"/>
      <c r="U509" s="339" t="str">
        <f t="shared" si="135"/>
        <v>[0,52]</v>
      </c>
      <c r="V509" s="1118" t="s">
        <v>1703</v>
      </c>
    </row>
    <row r="510" spans="2:22" hidden="1">
      <c r="B510" s="213" t="s">
        <v>1467</v>
      </c>
      <c r="D510" s="213" t="s">
        <v>1848</v>
      </c>
      <c r="F510" s="1121">
        <v>2.1999999999999999E-2</v>
      </c>
      <c r="G510" s="213">
        <v>2.3E-2</v>
      </c>
      <c r="H510" s="521" t="s">
        <v>1473</v>
      </c>
      <c r="I510" s="213" t="s">
        <v>802</v>
      </c>
      <c r="K510" s="1073"/>
      <c r="O510" s="324" t="str">
        <f>IF(AND(B510&gt;0,B510,LEFT(B510,1)&lt;&gt;" "),B510,"")</f>
        <v>5.3 Extrudierter Polystyrolschaum</v>
      </c>
      <c r="P510" s="324" t="str">
        <f>S510&amp;IF(T510&lt;&gt;""," "&amp;T510,"")&amp;IF(U510&lt;&gt;""," "&amp;U510,"")&amp;IF(V510&lt;&gt;""," "&amp;V510,"")</f>
        <v>5.3 Extrud. Polystyrols. (XPS) [0,023] (Extrudierter Polystyrolschaum)</v>
      </c>
      <c r="Q510" s="324"/>
      <c r="R510" s="338">
        <f t="shared" si="133"/>
        <v>2.3E-2</v>
      </c>
      <c r="S510" s="1118" t="s">
        <v>1891</v>
      </c>
      <c r="T510" s="339"/>
      <c r="U510" s="339" t="str">
        <f t="shared" si="135"/>
        <v>[0,023]</v>
      </c>
      <c r="V510" s="1118" t="s">
        <v>1704</v>
      </c>
    </row>
    <row r="511" spans="2:22" ht="12" hidden="1" customHeight="1">
      <c r="B511" s="1353" t="s">
        <v>1865</v>
      </c>
      <c r="C511" s="1353"/>
      <c r="D511" s="228" t="str">
        <f t="shared" si="145"/>
        <v>5.3 Extrudierter Polystyrolschaum (XPS)</v>
      </c>
      <c r="F511" s="1121">
        <v>2.3E-2</v>
      </c>
      <c r="G511" s="213">
        <f>G510+0.001</f>
        <v>2.4E-2</v>
      </c>
      <c r="H511" s="1115" t="str">
        <f t="shared" si="138"/>
        <v>80/250</v>
      </c>
      <c r="K511" s="1073"/>
      <c r="O511" s="324" t="str">
        <f>IF(AND(B511&gt;0,B511,LEFT(B511,1)&lt;&gt;" "),B511,"")</f>
        <v/>
      </c>
      <c r="P511" s="324" t="str">
        <f>S511&amp;IF(T511&lt;&gt;""," "&amp;T511,"")&amp;IF(U511&lt;&gt;""," "&amp;U511,"")&amp;IF(V511&lt;&gt;""," "&amp;V511,"")</f>
        <v>5.3 Extrud. Polystyrols. (XPS) [0,024] (Extrudierter Polystyrolschaum)</v>
      </c>
      <c r="Q511" s="324"/>
      <c r="R511" s="338">
        <f t="shared" si="133"/>
        <v>2.4E-2</v>
      </c>
      <c r="S511" s="1118" t="s">
        <v>1891</v>
      </c>
      <c r="T511" s="339"/>
      <c r="U511" s="339" t="str">
        <f t="shared" si="135"/>
        <v>[0,024]</v>
      </c>
      <c r="V511" s="1118" t="s">
        <v>1704</v>
      </c>
    </row>
    <row r="512" spans="2:22" hidden="1">
      <c r="B512" s="1353"/>
      <c r="C512" s="1353"/>
      <c r="D512" s="228" t="str">
        <f t="shared" si="145"/>
        <v>5.3 Extrudierter Polystyrolschaum (XPS)</v>
      </c>
      <c r="F512" s="1121">
        <f>F511+0.001</f>
        <v>2.4E-2</v>
      </c>
      <c r="G512" s="216">
        <f>G511+0.001</f>
        <v>2.5000000000000001E-2</v>
      </c>
      <c r="H512" s="1115" t="str">
        <f t="shared" si="138"/>
        <v>80/250</v>
      </c>
      <c r="K512" s="1073"/>
      <c r="O512" s="324" t="str">
        <f>IF(AND(B512&gt;0,B512,LEFT(B512,1)&lt;&gt;" "),B512,"")</f>
        <v/>
      </c>
      <c r="P512" s="324" t="str">
        <f>S512&amp;IF(T512&lt;&gt;""," "&amp;T512,"")&amp;IF(U512&lt;&gt;""," "&amp;U512,"")&amp;IF(V512&lt;&gt;""," "&amp;V512,"")</f>
        <v>5.3 Extrud. Polystyrols. (XPS) [0,025] (Extrudierter Polystyrolschaum)</v>
      </c>
      <c r="Q512" s="324"/>
      <c r="R512" s="338">
        <f t="shared" si="133"/>
        <v>2.5000000000000001E-2</v>
      </c>
      <c r="S512" s="1118" t="s">
        <v>1891</v>
      </c>
      <c r="T512" s="339"/>
      <c r="U512" s="339" t="str">
        <f t="shared" si="135"/>
        <v>[0,025]</v>
      </c>
      <c r="V512" s="1118" t="s">
        <v>1704</v>
      </c>
    </row>
    <row r="513" spans="4:22" hidden="1">
      <c r="D513" s="228" t="str">
        <f t="shared" si="145"/>
        <v>5.3 Extrudierter Polystyrolschaum (XPS)</v>
      </c>
      <c r="F513" s="1121">
        <f t="shared" ref="F513:F533" si="149">F512+0.001</f>
        <v>2.5000000000000001E-2</v>
      </c>
      <c r="G513" s="216">
        <f>G512+0.001</f>
        <v>2.6000000000000002E-2</v>
      </c>
      <c r="H513" s="1115" t="str">
        <f t="shared" si="138"/>
        <v>80/250</v>
      </c>
      <c r="K513" s="1073"/>
      <c r="O513" s="324" t="str">
        <f>IF(AND(B513&gt;0,B513,LEFT(B513,1)&lt;&gt;" "),B513,"")</f>
        <v/>
      </c>
      <c r="P513" s="324" t="str">
        <f>S513&amp;IF(T513&lt;&gt;""," "&amp;T513,"")&amp;IF(U513&lt;&gt;""," "&amp;U513,"")&amp;IF(V513&lt;&gt;""," "&amp;V513,"")</f>
        <v>5.3 Extrud. Polystyrols. (XPS) [0,026] (Extrudierter Polystyrolschaum)</v>
      </c>
      <c r="Q513" s="324"/>
      <c r="R513" s="338">
        <f t="shared" si="133"/>
        <v>2.6000000000000002E-2</v>
      </c>
      <c r="S513" s="1118" t="s">
        <v>1891</v>
      </c>
      <c r="T513" s="339"/>
      <c r="U513" s="339" t="str">
        <f t="shared" si="135"/>
        <v>[0,026]</v>
      </c>
      <c r="V513" s="1118" t="s">
        <v>1704</v>
      </c>
    </row>
    <row r="514" spans="4:22" hidden="1">
      <c r="D514" s="228" t="str">
        <f t="shared" si="145"/>
        <v>5.3 Extrudierter Polystyrolschaum (XPS)</v>
      </c>
      <c r="F514" s="1121">
        <f t="shared" si="149"/>
        <v>2.6000000000000002E-2</v>
      </c>
      <c r="G514" s="216">
        <f>G513+0.001</f>
        <v>2.7000000000000003E-2</v>
      </c>
      <c r="H514" s="1115" t="str">
        <f t="shared" si="138"/>
        <v>80/250</v>
      </c>
      <c r="K514" s="1073"/>
      <c r="P514" s="324" t="str">
        <f t="shared" ref="P514:P524" si="150">S514&amp;IF(T514&lt;&gt;""," "&amp;T514,"")&amp;IF(U514&lt;&gt;""," "&amp;U514,"")&amp;IF(V514&lt;&gt;""," "&amp;V514,"")</f>
        <v>5.3 Extrud. Polystyrols. (XPS) [0,027] (Extrudierter Polystyrolschaum)</v>
      </c>
      <c r="Q514" s="324"/>
      <c r="R514" s="338">
        <f t="shared" si="133"/>
        <v>2.7000000000000003E-2</v>
      </c>
      <c r="S514" s="1118" t="s">
        <v>1891</v>
      </c>
      <c r="T514" s="339"/>
      <c r="U514" s="339" t="str">
        <f t="shared" si="135"/>
        <v>[0,027]</v>
      </c>
      <c r="V514" s="1118" t="s">
        <v>1704</v>
      </c>
    </row>
    <row r="515" spans="4:22" hidden="1">
      <c r="D515" s="228" t="str">
        <f t="shared" si="145"/>
        <v>5.3 Extrudierter Polystyrolschaum (XPS)</v>
      </c>
      <c r="F515" s="1121">
        <f t="shared" si="149"/>
        <v>2.7000000000000003E-2</v>
      </c>
      <c r="G515" s="216">
        <f>G514+0.001</f>
        <v>2.8000000000000004E-2</v>
      </c>
      <c r="H515" s="1115" t="str">
        <f t="shared" si="138"/>
        <v>80/250</v>
      </c>
      <c r="K515" s="1073"/>
      <c r="P515" s="324" t="str">
        <f t="shared" si="150"/>
        <v>5.3 Extrud. Polystyrols. (XPS) [0,028] (Extrudierter Polystyrolschaum)</v>
      </c>
      <c r="Q515" s="324"/>
      <c r="R515" s="338">
        <f t="shared" si="133"/>
        <v>2.8000000000000004E-2</v>
      </c>
      <c r="S515" s="1118" t="s">
        <v>1891</v>
      </c>
      <c r="T515" s="339"/>
      <c r="U515" s="339" t="str">
        <f t="shared" si="135"/>
        <v>[0,028]</v>
      </c>
      <c r="V515" s="1118" t="s">
        <v>1704</v>
      </c>
    </row>
    <row r="516" spans="4:22" hidden="1">
      <c r="D516" s="228" t="str">
        <f t="shared" si="145"/>
        <v>5.3 Extrudierter Polystyrolschaum (XPS)</v>
      </c>
      <c r="F516" s="1121">
        <f t="shared" si="149"/>
        <v>2.8000000000000004E-2</v>
      </c>
      <c r="G516" s="216">
        <f t="shared" ref="G516:G533" si="151">G515+0.001</f>
        <v>2.9000000000000005E-2</v>
      </c>
      <c r="H516" s="1115" t="str">
        <f t="shared" si="138"/>
        <v>80/250</v>
      </c>
      <c r="K516" s="1073"/>
      <c r="P516" s="324" t="str">
        <f t="shared" si="150"/>
        <v>5.3 Extrud. Polystyrols. (XPS) [0,029] (Extrudierter Polystyrolschaum)</v>
      </c>
      <c r="Q516" s="324"/>
      <c r="R516" s="338">
        <f t="shared" si="133"/>
        <v>2.9000000000000005E-2</v>
      </c>
      <c r="S516" s="1118" t="s">
        <v>1891</v>
      </c>
      <c r="T516" s="339"/>
      <c r="U516" s="339" t="str">
        <f t="shared" si="135"/>
        <v>[0,029]</v>
      </c>
      <c r="V516" s="1118" t="s">
        <v>1704</v>
      </c>
    </row>
    <row r="517" spans="4:22" hidden="1">
      <c r="D517" s="228" t="str">
        <f t="shared" si="145"/>
        <v>5.3 Extrudierter Polystyrolschaum (XPS)</v>
      </c>
      <c r="F517" s="1121">
        <f t="shared" si="149"/>
        <v>2.9000000000000005E-2</v>
      </c>
      <c r="G517" s="216">
        <f t="shared" si="151"/>
        <v>3.0000000000000006E-2</v>
      </c>
      <c r="H517" s="1115" t="str">
        <f t="shared" si="138"/>
        <v>80/250</v>
      </c>
      <c r="K517" s="1073"/>
      <c r="P517" s="324" t="str">
        <f t="shared" si="150"/>
        <v>5.3 Extrud. Polystyrols. (XPS) [0,03] (Extrudierter Polystyrolschaum)</v>
      </c>
      <c r="Q517" s="324"/>
      <c r="R517" s="338">
        <f t="shared" si="133"/>
        <v>3.0000000000000006E-2</v>
      </c>
      <c r="S517" s="1118" t="s">
        <v>1891</v>
      </c>
      <c r="T517" s="339"/>
      <c r="U517" s="339" t="str">
        <f t="shared" si="135"/>
        <v>[0,03]</v>
      </c>
      <c r="V517" s="1118" t="s">
        <v>1704</v>
      </c>
    </row>
    <row r="518" spans="4:22" hidden="1">
      <c r="D518" s="228" t="str">
        <f t="shared" si="145"/>
        <v>5.3 Extrudierter Polystyrolschaum (XPS)</v>
      </c>
      <c r="F518" s="1121">
        <f t="shared" si="149"/>
        <v>3.0000000000000006E-2</v>
      </c>
      <c r="G518" s="216">
        <f t="shared" si="151"/>
        <v>3.1000000000000007E-2</v>
      </c>
      <c r="H518" s="1115" t="str">
        <f t="shared" si="138"/>
        <v>80/250</v>
      </c>
      <c r="K518" s="1073"/>
      <c r="P518" s="324" t="str">
        <f t="shared" si="150"/>
        <v>5.3 Extrud. Polystyrols. (XPS) [0,031] (Extrudierter Polystyrolschaum)</v>
      </c>
      <c r="Q518" s="324"/>
      <c r="R518" s="338">
        <f t="shared" si="133"/>
        <v>3.1000000000000007E-2</v>
      </c>
      <c r="S518" s="1118" t="s">
        <v>1891</v>
      </c>
      <c r="T518" s="339"/>
      <c r="U518" s="339" t="str">
        <f t="shared" si="135"/>
        <v>[0,031]</v>
      </c>
      <c r="V518" s="1118" t="s">
        <v>1704</v>
      </c>
    </row>
    <row r="519" spans="4:22" hidden="1">
      <c r="D519" s="228" t="str">
        <f t="shared" si="145"/>
        <v>5.3 Extrudierter Polystyrolschaum (XPS)</v>
      </c>
      <c r="F519" s="1121">
        <f t="shared" si="149"/>
        <v>3.1000000000000007E-2</v>
      </c>
      <c r="G519" s="216">
        <f t="shared" si="151"/>
        <v>3.2000000000000008E-2</v>
      </c>
      <c r="H519" s="1115" t="str">
        <f t="shared" si="138"/>
        <v>80/250</v>
      </c>
      <c r="K519" s="1073"/>
      <c r="P519" s="324" t="str">
        <f t="shared" si="150"/>
        <v>5.3 Extrud. Polystyrols. (XPS) [0,032] (Extrudierter Polystyrolschaum)</v>
      </c>
      <c r="Q519" s="324"/>
      <c r="R519" s="338">
        <f t="shared" si="133"/>
        <v>3.2000000000000008E-2</v>
      </c>
      <c r="S519" s="1118" t="s">
        <v>1891</v>
      </c>
      <c r="T519" s="339"/>
      <c r="U519" s="339" t="str">
        <f t="shared" si="135"/>
        <v>[0,032]</v>
      </c>
      <c r="V519" s="1118" t="s">
        <v>1704</v>
      </c>
    </row>
    <row r="520" spans="4:22" hidden="1">
      <c r="D520" s="228" t="str">
        <f t="shared" si="145"/>
        <v>5.3 Extrudierter Polystyrolschaum (XPS)</v>
      </c>
      <c r="F520" s="1121">
        <f t="shared" si="149"/>
        <v>3.2000000000000008E-2</v>
      </c>
      <c r="G520" s="216">
        <f t="shared" si="151"/>
        <v>3.3000000000000008E-2</v>
      </c>
      <c r="H520" s="1115" t="str">
        <f t="shared" si="138"/>
        <v>80/250</v>
      </c>
      <c r="K520" s="1073"/>
      <c r="P520" s="324" t="str">
        <f t="shared" si="150"/>
        <v>5.3 Extrud. Polystyrols. (XPS) [0,033] (Extrudierter Polystyrolschaum)</v>
      </c>
      <c r="Q520" s="324"/>
      <c r="R520" s="338">
        <f t="shared" si="133"/>
        <v>3.3000000000000008E-2</v>
      </c>
      <c r="S520" s="1118" t="s">
        <v>1891</v>
      </c>
      <c r="T520" s="339"/>
      <c r="U520" s="339" t="str">
        <f t="shared" si="135"/>
        <v>[0,033]</v>
      </c>
      <c r="V520" s="1118" t="s">
        <v>1704</v>
      </c>
    </row>
    <row r="521" spans="4:22" hidden="1">
      <c r="D521" s="228" t="str">
        <f t="shared" si="145"/>
        <v>5.3 Extrudierter Polystyrolschaum (XPS)</v>
      </c>
      <c r="F521" s="1121">
        <f t="shared" si="149"/>
        <v>3.3000000000000008E-2</v>
      </c>
      <c r="G521" s="216">
        <f t="shared" si="151"/>
        <v>3.4000000000000009E-2</v>
      </c>
      <c r="H521" s="1115" t="str">
        <f t="shared" si="138"/>
        <v>80/250</v>
      </c>
      <c r="K521" s="1073"/>
      <c r="P521" s="324" t="str">
        <f t="shared" si="150"/>
        <v>5.3 Extrud. Polystyrols. (XPS) [0,034] (Extrudierter Polystyrolschaum)</v>
      </c>
      <c r="Q521" s="324"/>
      <c r="R521" s="338">
        <f t="shared" si="133"/>
        <v>3.4000000000000009E-2</v>
      </c>
      <c r="S521" s="1118" t="s">
        <v>1891</v>
      </c>
      <c r="T521" s="339"/>
      <c r="U521" s="339" t="str">
        <f t="shared" si="135"/>
        <v>[0,034]</v>
      </c>
      <c r="V521" s="1118" t="s">
        <v>1704</v>
      </c>
    </row>
    <row r="522" spans="4:22" hidden="1">
      <c r="D522" s="228" t="str">
        <f t="shared" si="145"/>
        <v>5.3 Extrudierter Polystyrolschaum (XPS)</v>
      </c>
      <c r="F522" s="1121">
        <f t="shared" si="149"/>
        <v>3.4000000000000009E-2</v>
      </c>
      <c r="G522" s="216">
        <f t="shared" si="151"/>
        <v>3.500000000000001E-2</v>
      </c>
      <c r="H522" s="1115" t="str">
        <f t="shared" si="138"/>
        <v>80/250</v>
      </c>
      <c r="K522" s="1073"/>
      <c r="P522" s="324" t="str">
        <f t="shared" si="150"/>
        <v>5.3 Extrud. Polystyrols. (XPS) [0,035] (Extrudierter Polystyrolschaum)</v>
      </c>
      <c r="Q522" s="324"/>
      <c r="R522" s="338">
        <f t="shared" si="133"/>
        <v>3.500000000000001E-2</v>
      </c>
      <c r="S522" s="1118" t="s">
        <v>1891</v>
      </c>
      <c r="T522" s="339"/>
      <c r="U522" s="339" t="str">
        <f t="shared" si="135"/>
        <v>[0,035]</v>
      </c>
      <c r="V522" s="1118" t="s">
        <v>1704</v>
      </c>
    </row>
    <row r="523" spans="4:22" hidden="1">
      <c r="D523" s="228" t="str">
        <f t="shared" si="145"/>
        <v>5.3 Extrudierter Polystyrolschaum (XPS)</v>
      </c>
      <c r="F523" s="1121">
        <f t="shared" si="149"/>
        <v>3.500000000000001E-2</v>
      </c>
      <c r="G523" s="216">
        <f t="shared" si="151"/>
        <v>3.6000000000000011E-2</v>
      </c>
      <c r="H523" s="1115" t="str">
        <f t="shared" si="138"/>
        <v>80/250</v>
      </c>
      <c r="K523" s="1073"/>
      <c r="P523" s="324" t="str">
        <f t="shared" si="150"/>
        <v>5.3 Extrud. Polystyrols. (XPS) [0,036] (Extrudierter Polystyrolschaum)</v>
      </c>
      <c r="Q523" s="324"/>
      <c r="R523" s="338">
        <f t="shared" si="133"/>
        <v>3.6000000000000011E-2</v>
      </c>
      <c r="S523" s="1118" t="s">
        <v>1891</v>
      </c>
      <c r="T523" s="339"/>
      <c r="U523" s="339" t="str">
        <f t="shared" si="135"/>
        <v>[0,036]</v>
      </c>
      <c r="V523" s="1118" t="s">
        <v>1704</v>
      </c>
    </row>
    <row r="524" spans="4:22" hidden="1">
      <c r="D524" s="228" t="str">
        <f t="shared" si="145"/>
        <v>5.3 Extrudierter Polystyrolschaum (XPS)</v>
      </c>
      <c r="F524" s="1121">
        <f t="shared" si="149"/>
        <v>3.6000000000000011E-2</v>
      </c>
      <c r="G524" s="216">
        <f t="shared" si="151"/>
        <v>3.7000000000000012E-2</v>
      </c>
      <c r="H524" s="1115" t="str">
        <f t="shared" si="138"/>
        <v>80/250</v>
      </c>
      <c r="K524" s="1073"/>
      <c r="P524" s="324" t="str">
        <f t="shared" si="150"/>
        <v>5.3 Extrud. Polystyrols. (XPS) [0,037] (Extrudierter Polystyrolschaum)</v>
      </c>
      <c r="Q524" s="324"/>
      <c r="R524" s="338">
        <f t="shared" si="133"/>
        <v>3.7000000000000012E-2</v>
      </c>
      <c r="S524" s="1118" t="s">
        <v>1891</v>
      </c>
      <c r="T524" s="339"/>
      <c r="U524" s="339" t="str">
        <f t="shared" si="135"/>
        <v>[0,037]</v>
      </c>
      <c r="V524" s="1118" t="s">
        <v>1704</v>
      </c>
    </row>
    <row r="525" spans="4:22" hidden="1">
      <c r="D525" s="228" t="str">
        <f t="shared" si="145"/>
        <v>5.3 Extrudierter Polystyrolschaum (XPS)</v>
      </c>
      <c r="F525" s="1121">
        <f t="shared" si="149"/>
        <v>3.7000000000000012E-2</v>
      </c>
      <c r="G525" s="216">
        <f t="shared" si="151"/>
        <v>3.8000000000000013E-2</v>
      </c>
      <c r="H525" s="1115" t="str">
        <f t="shared" si="138"/>
        <v>80/250</v>
      </c>
      <c r="K525" s="1073"/>
      <c r="O525" s="324" t="str">
        <f t="shared" ref="O525:O539" si="152">IF(AND(B525&gt;0,B525,LEFT(B525,1)&lt;&gt;" "),B525,"")</f>
        <v/>
      </c>
      <c r="P525" s="324" t="str">
        <f t="shared" ref="P525:P539" si="153">S525&amp;IF(T525&lt;&gt;""," "&amp;T525,"")&amp;IF(U525&lt;&gt;""," "&amp;U525,"")&amp;IF(V525&lt;&gt;""," "&amp;V525,"")</f>
        <v>5.3 Extrud. Polystyrols. (XPS) [0,038] (Extrudierter Polystyrolschaum)</v>
      </c>
      <c r="Q525" s="324"/>
      <c r="R525" s="338">
        <f t="shared" si="133"/>
        <v>3.8000000000000013E-2</v>
      </c>
      <c r="S525" s="1118" t="s">
        <v>1891</v>
      </c>
      <c r="T525" s="339"/>
      <c r="U525" s="339" t="str">
        <f t="shared" si="135"/>
        <v>[0,038]</v>
      </c>
      <c r="V525" s="1118" t="s">
        <v>1704</v>
      </c>
    </row>
    <row r="526" spans="4:22" hidden="1">
      <c r="D526" s="228" t="str">
        <f t="shared" si="145"/>
        <v>5.3 Extrudierter Polystyrolschaum (XPS)</v>
      </c>
      <c r="F526" s="1121">
        <f t="shared" si="149"/>
        <v>3.8000000000000013E-2</v>
      </c>
      <c r="G526" s="216">
        <f t="shared" si="151"/>
        <v>3.9000000000000014E-2</v>
      </c>
      <c r="H526" s="1115" t="str">
        <f t="shared" si="138"/>
        <v>80/250</v>
      </c>
      <c r="K526" s="1073"/>
      <c r="O526" s="324" t="str">
        <f t="shared" si="152"/>
        <v/>
      </c>
      <c r="P526" s="324" t="str">
        <f t="shared" si="153"/>
        <v>5.3 Extrud. Polystyrols. (XPS) [0,039] (Extrudierter Polystyrolschaum)</v>
      </c>
      <c r="Q526" s="324"/>
      <c r="R526" s="338">
        <f t="shared" si="133"/>
        <v>3.9000000000000014E-2</v>
      </c>
      <c r="S526" s="1118" t="s">
        <v>1891</v>
      </c>
      <c r="T526" s="339"/>
      <c r="U526" s="339" t="str">
        <f t="shared" si="135"/>
        <v>[0,039]</v>
      </c>
      <c r="V526" s="1118" t="s">
        <v>1704</v>
      </c>
    </row>
    <row r="527" spans="4:22" hidden="1">
      <c r="D527" s="228" t="str">
        <f t="shared" si="145"/>
        <v>5.3 Extrudierter Polystyrolschaum (XPS)</v>
      </c>
      <c r="F527" s="1121">
        <f t="shared" si="149"/>
        <v>3.9000000000000014E-2</v>
      </c>
      <c r="G527" s="216">
        <f t="shared" si="151"/>
        <v>4.0000000000000015E-2</v>
      </c>
      <c r="H527" s="1115" t="str">
        <f t="shared" si="138"/>
        <v>80/250</v>
      </c>
      <c r="K527" s="1073"/>
      <c r="O527" s="324" t="str">
        <f t="shared" si="152"/>
        <v/>
      </c>
      <c r="P527" s="324" t="str">
        <f t="shared" si="153"/>
        <v>5.3 Extrud. Polystyrols. (XPS) [0,04] (Extrudierter Polystyrolschaum)</v>
      </c>
      <c r="Q527" s="324"/>
      <c r="R527" s="338">
        <f t="shared" si="133"/>
        <v>4.0000000000000015E-2</v>
      </c>
      <c r="S527" s="1118" t="s">
        <v>1891</v>
      </c>
      <c r="T527" s="339"/>
      <c r="U527" s="339" t="str">
        <f t="shared" si="135"/>
        <v>[0,04]</v>
      </c>
      <c r="V527" s="1118" t="s">
        <v>1704</v>
      </c>
    </row>
    <row r="528" spans="4:22" hidden="1">
      <c r="D528" s="228" t="str">
        <f t="shared" si="145"/>
        <v>5.3 Extrudierter Polystyrolschaum (XPS)</v>
      </c>
      <c r="F528" s="1121">
        <f t="shared" si="149"/>
        <v>4.0000000000000015E-2</v>
      </c>
      <c r="G528" s="216">
        <f t="shared" si="151"/>
        <v>4.1000000000000016E-2</v>
      </c>
      <c r="H528" s="1115" t="str">
        <f t="shared" si="138"/>
        <v>80/250</v>
      </c>
      <c r="K528" s="1073"/>
      <c r="O528" s="324" t="str">
        <f t="shared" si="152"/>
        <v/>
      </c>
      <c r="P528" s="324" t="str">
        <f t="shared" si="153"/>
        <v>5.3 Extrud. Polystyrols. (XPS) [0,041] (Extrudierter Polystyrolschaum)</v>
      </c>
      <c r="Q528" s="324"/>
      <c r="R528" s="338">
        <f t="shared" si="133"/>
        <v>4.1000000000000016E-2</v>
      </c>
      <c r="S528" s="1118" t="s">
        <v>1891</v>
      </c>
      <c r="T528" s="339"/>
      <c r="U528" s="339" t="str">
        <f t="shared" si="135"/>
        <v>[0,041]</v>
      </c>
      <c r="V528" s="1118" t="s">
        <v>1704</v>
      </c>
    </row>
    <row r="529" spans="2:22" hidden="1">
      <c r="D529" s="228" t="str">
        <f t="shared" si="145"/>
        <v>5.3 Extrudierter Polystyrolschaum (XPS)</v>
      </c>
      <c r="F529" s="1121">
        <f t="shared" si="149"/>
        <v>4.1000000000000016E-2</v>
      </c>
      <c r="G529" s="216">
        <f t="shared" si="151"/>
        <v>4.2000000000000016E-2</v>
      </c>
      <c r="H529" s="1115" t="str">
        <f t="shared" si="138"/>
        <v>80/250</v>
      </c>
      <c r="K529" s="1073"/>
      <c r="O529" s="324" t="str">
        <f t="shared" si="152"/>
        <v/>
      </c>
      <c r="P529" s="324" t="str">
        <f t="shared" si="153"/>
        <v>5.3 Extrud. Polystyrols. (XPS) [0,042] (Extrudierter Polystyrolschaum)</v>
      </c>
      <c r="Q529" s="324"/>
      <c r="R529" s="338">
        <f t="shared" si="133"/>
        <v>4.2000000000000016E-2</v>
      </c>
      <c r="S529" s="1118" t="s">
        <v>1891</v>
      </c>
      <c r="T529" s="339"/>
      <c r="U529" s="339" t="str">
        <f t="shared" si="135"/>
        <v>[0,042]</v>
      </c>
      <c r="V529" s="1118" t="s">
        <v>1704</v>
      </c>
    </row>
    <row r="530" spans="2:22" hidden="1">
      <c r="D530" s="228" t="str">
        <f>D510</f>
        <v>5.3 Extrudierter Polystyrolschaum (XPS)</v>
      </c>
      <c r="F530" s="1121">
        <f t="shared" si="149"/>
        <v>4.2000000000000016E-2</v>
      </c>
      <c r="G530" s="216">
        <f t="shared" si="151"/>
        <v>4.3000000000000017E-2</v>
      </c>
      <c r="H530" s="1115" t="str">
        <f t="shared" si="138"/>
        <v>80/250</v>
      </c>
      <c r="K530" s="1073"/>
      <c r="O530" s="324" t="str">
        <f t="shared" ref="O530:O533" si="154">IF(AND(B530&gt;0,B530,LEFT(B530,1)&lt;&gt;" "),B530,"")</f>
        <v/>
      </c>
      <c r="P530" s="324" t="str">
        <f t="shared" ref="P530:P533" si="155">S530&amp;IF(T530&lt;&gt;""," "&amp;T530,"")&amp;IF(U530&lt;&gt;""," "&amp;U530,"")&amp;IF(V530&lt;&gt;""," "&amp;V530,"")</f>
        <v>5.3 Extrud. Polystyrols. (XPS) [0,043] (Extrudierter Polystyrolschaum)</v>
      </c>
      <c r="Q530" s="324"/>
      <c r="R530" s="338">
        <f t="shared" ref="R530:R533" si="156">G530</f>
        <v>4.3000000000000017E-2</v>
      </c>
      <c r="S530" s="1118" t="s">
        <v>1891</v>
      </c>
      <c r="T530" s="339"/>
      <c r="U530" s="339" t="str">
        <f t="shared" ref="U530:U533" si="157">IF(G530&gt;0,"["&amp;G530&amp;"]","")</f>
        <v>[0,043]</v>
      </c>
      <c r="V530" s="1118" t="s">
        <v>1704</v>
      </c>
    </row>
    <row r="531" spans="2:22" hidden="1">
      <c r="D531" s="228" t="str">
        <f t="shared" ref="D531:D533" si="158">D511</f>
        <v>5.3 Extrudierter Polystyrolschaum (XPS)</v>
      </c>
      <c r="F531" s="1121">
        <f t="shared" si="149"/>
        <v>4.3000000000000017E-2</v>
      </c>
      <c r="G531" s="216">
        <f t="shared" si="151"/>
        <v>4.4000000000000018E-2</v>
      </c>
      <c r="H531" s="1115" t="str">
        <f t="shared" si="138"/>
        <v>80/250</v>
      </c>
      <c r="K531" s="1073"/>
      <c r="O531" s="324" t="str">
        <f t="shared" si="154"/>
        <v/>
      </c>
      <c r="P531" s="324" t="str">
        <f t="shared" si="155"/>
        <v>5.3 Extrud. Polystyrols. (XPS) [0,044] (Extrudierter Polystyrolschaum)</v>
      </c>
      <c r="Q531" s="324"/>
      <c r="R531" s="338">
        <f t="shared" si="156"/>
        <v>4.4000000000000018E-2</v>
      </c>
      <c r="S531" s="1118" t="s">
        <v>1891</v>
      </c>
      <c r="T531" s="339"/>
      <c r="U531" s="339" t="str">
        <f t="shared" si="157"/>
        <v>[0,044]</v>
      </c>
      <c r="V531" s="1118" t="s">
        <v>1704</v>
      </c>
    </row>
    <row r="532" spans="2:22" hidden="1">
      <c r="D532" s="228" t="str">
        <f t="shared" si="158"/>
        <v>5.3 Extrudierter Polystyrolschaum (XPS)</v>
      </c>
      <c r="F532" s="1121">
        <f t="shared" si="149"/>
        <v>4.4000000000000018E-2</v>
      </c>
      <c r="G532" s="216">
        <f t="shared" si="151"/>
        <v>4.5000000000000019E-2</v>
      </c>
      <c r="H532" s="1115" t="str">
        <f t="shared" si="138"/>
        <v>80/250</v>
      </c>
      <c r="K532" s="1073"/>
      <c r="O532" s="324" t="str">
        <f t="shared" si="154"/>
        <v/>
      </c>
      <c r="P532" s="324" t="str">
        <f t="shared" si="155"/>
        <v>5.3 Extrud. Polystyrols. (XPS) [0,045] (Extrudierter Polystyrolschaum)</v>
      </c>
      <c r="Q532" s="324"/>
      <c r="R532" s="338">
        <f t="shared" si="156"/>
        <v>4.5000000000000019E-2</v>
      </c>
      <c r="S532" s="1118" t="s">
        <v>1891</v>
      </c>
      <c r="T532" s="339"/>
      <c r="U532" s="339" t="str">
        <f t="shared" si="157"/>
        <v>[0,045]</v>
      </c>
      <c r="V532" s="1118" t="s">
        <v>1704</v>
      </c>
    </row>
    <row r="533" spans="2:22" hidden="1">
      <c r="D533" s="228" t="str">
        <f t="shared" si="158"/>
        <v>5.3 Extrudierter Polystyrolschaum (XPS)</v>
      </c>
      <c r="F533" s="1121">
        <f t="shared" si="149"/>
        <v>4.5000000000000019E-2</v>
      </c>
      <c r="G533" s="216">
        <f t="shared" si="151"/>
        <v>4.600000000000002E-2</v>
      </c>
      <c r="H533" s="1115" t="str">
        <f t="shared" si="138"/>
        <v>80/250</v>
      </c>
      <c r="K533" s="1073"/>
      <c r="O533" s="324" t="str">
        <f t="shared" si="154"/>
        <v/>
      </c>
      <c r="P533" s="324" t="str">
        <f t="shared" si="155"/>
        <v>5.3 Extrud. Polystyrols. (XPS) [0,046] (Extrudierter Polystyrolschaum)</v>
      </c>
      <c r="Q533" s="324"/>
      <c r="R533" s="338">
        <f t="shared" si="156"/>
        <v>4.600000000000002E-2</v>
      </c>
      <c r="S533" s="1118" t="s">
        <v>1891</v>
      </c>
      <c r="T533" s="339"/>
      <c r="U533" s="339" t="str">
        <f t="shared" si="157"/>
        <v>[0,046]</v>
      </c>
      <c r="V533" s="1118" t="s">
        <v>1704</v>
      </c>
    </row>
    <row r="534" spans="2:22" hidden="1">
      <c r="B534" s="213" t="s">
        <v>1707</v>
      </c>
      <c r="D534" s="213" t="s">
        <v>3331</v>
      </c>
      <c r="F534" s="1121">
        <v>0.02</v>
      </c>
      <c r="G534" s="213">
        <v>2.1000000000000001E-2</v>
      </c>
      <c r="H534" s="521" t="s">
        <v>1468</v>
      </c>
      <c r="I534" s="213" t="s">
        <v>802</v>
      </c>
      <c r="K534" s="1073"/>
      <c r="O534" s="324" t="str">
        <f t="shared" si="152"/>
        <v>5.4 Polyurethan-Hartschaum</v>
      </c>
      <c r="P534" s="324" t="str">
        <f t="shared" si="153"/>
        <v>5.4 Polyurethan-Harts. (PU) [0,021] (Polyurethan-Hartschaum)</v>
      </c>
      <c r="Q534" s="324"/>
      <c r="R534" s="338">
        <f t="shared" si="133"/>
        <v>2.1000000000000001E-2</v>
      </c>
      <c r="S534" s="1119" t="str">
        <f>SUBSTITUTE(D534,"chaum",".")</f>
        <v>5.4 Polyurethan-Harts. (PU)</v>
      </c>
      <c r="T534" s="339"/>
      <c r="U534" s="339" t="str">
        <f t="shared" si="135"/>
        <v>[0,021]</v>
      </c>
      <c r="V534" s="1118" t="s">
        <v>1705</v>
      </c>
    </row>
    <row r="535" spans="2:22" ht="12" hidden="1" customHeight="1">
      <c r="B535" s="1353" t="s">
        <v>1864</v>
      </c>
      <c r="C535" s="1353"/>
      <c r="D535" s="228" t="str">
        <f t="shared" ref="D535:D554" si="159">D534</f>
        <v>5.4 Polyurethan-Hartschaum (PU)</v>
      </c>
      <c r="F535" s="1121">
        <v>2.1000000000000001E-2</v>
      </c>
      <c r="G535" s="213">
        <f t="shared" ref="G535:G540" si="160">G534+0.001</f>
        <v>2.2000000000000002E-2</v>
      </c>
      <c r="H535" s="1115" t="str">
        <f t="shared" si="138"/>
        <v>40/200</v>
      </c>
      <c r="K535" s="1073"/>
      <c r="O535" s="324" t="str">
        <f t="shared" si="152"/>
        <v/>
      </c>
      <c r="P535" s="324" t="str">
        <f t="shared" si="153"/>
        <v>5.4 Polyurethan-Harts. (PU) [0,022] (Polyurethan-Hartschaum)</v>
      </c>
      <c r="Q535" s="324"/>
      <c r="R535" s="338">
        <f t="shared" si="133"/>
        <v>2.2000000000000002E-2</v>
      </c>
      <c r="S535" s="1119" t="str">
        <f t="shared" ref="S535:S570" si="161">SUBSTITUTE(D535,"chaum",".")</f>
        <v>5.4 Polyurethan-Harts. (PU)</v>
      </c>
      <c r="T535" s="339"/>
      <c r="U535" s="339" t="str">
        <f t="shared" si="135"/>
        <v>[0,022]</v>
      </c>
      <c r="V535" s="1118" t="s">
        <v>1705</v>
      </c>
    </row>
    <row r="536" spans="2:22" hidden="1">
      <c r="B536" s="1353"/>
      <c r="C536" s="1353"/>
      <c r="D536" s="228" t="str">
        <f t="shared" si="159"/>
        <v>5.4 Polyurethan-Hartschaum (PU)</v>
      </c>
      <c r="F536" s="1121">
        <f>F535+0.001</f>
        <v>2.2000000000000002E-2</v>
      </c>
      <c r="G536" s="216">
        <f t="shared" si="160"/>
        <v>2.3000000000000003E-2</v>
      </c>
      <c r="H536" s="1115" t="str">
        <f t="shared" si="138"/>
        <v>40/200</v>
      </c>
      <c r="K536" s="1073"/>
      <c r="O536" s="324" t="str">
        <f t="shared" si="152"/>
        <v/>
      </c>
      <c r="P536" s="324" t="str">
        <f t="shared" si="153"/>
        <v>5.4 Polyurethan-Harts. (PU) [0,023] (Polyurethan-Hartschaum)</v>
      </c>
      <c r="Q536" s="324"/>
      <c r="R536" s="338">
        <f t="shared" ref="R536:R595" si="162">G536</f>
        <v>2.3000000000000003E-2</v>
      </c>
      <c r="S536" s="1119" t="str">
        <f t="shared" si="161"/>
        <v>5.4 Polyurethan-Harts. (PU)</v>
      </c>
      <c r="T536" s="339"/>
      <c r="U536" s="339" t="str">
        <f t="shared" ref="U536:U595" si="163">IF(G536&gt;0,"["&amp;G536&amp;"]","")</f>
        <v>[0,023]</v>
      </c>
      <c r="V536" s="1118" t="s">
        <v>1705</v>
      </c>
    </row>
    <row r="537" spans="2:22" hidden="1">
      <c r="D537" s="228" t="str">
        <f t="shared" si="159"/>
        <v>5.4 Polyurethan-Hartschaum (PU)</v>
      </c>
      <c r="F537" s="1121">
        <f t="shared" ref="F537:F554" si="164">F536+0.001</f>
        <v>2.3000000000000003E-2</v>
      </c>
      <c r="G537" s="216">
        <f t="shared" si="160"/>
        <v>2.4000000000000004E-2</v>
      </c>
      <c r="H537" s="1115" t="str">
        <f t="shared" ref="H537:H597" si="165">H536</f>
        <v>40/200</v>
      </c>
      <c r="K537" s="1073"/>
      <c r="O537" s="324" t="str">
        <f t="shared" si="152"/>
        <v/>
      </c>
      <c r="P537" s="324" t="str">
        <f t="shared" si="153"/>
        <v>5.4 Polyurethan-Harts. (PU) [0,024] (Polyurethan-Hartschaum)</v>
      </c>
      <c r="Q537" s="324"/>
      <c r="R537" s="338">
        <f t="shared" si="162"/>
        <v>2.4000000000000004E-2</v>
      </c>
      <c r="S537" s="1119" t="str">
        <f t="shared" si="161"/>
        <v>5.4 Polyurethan-Harts. (PU)</v>
      </c>
      <c r="T537" s="339"/>
      <c r="U537" s="339" t="str">
        <f t="shared" si="163"/>
        <v>[0,024]</v>
      </c>
      <c r="V537" s="1118" t="s">
        <v>1705</v>
      </c>
    </row>
    <row r="538" spans="2:22" hidden="1">
      <c r="D538" s="228" t="str">
        <f t="shared" si="159"/>
        <v>5.4 Polyurethan-Hartschaum (PU)</v>
      </c>
      <c r="F538" s="1121">
        <f t="shared" si="164"/>
        <v>2.4000000000000004E-2</v>
      </c>
      <c r="G538" s="216">
        <f t="shared" si="160"/>
        <v>2.5000000000000005E-2</v>
      </c>
      <c r="H538" s="1115" t="str">
        <f t="shared" si="165"/>
        <v>40/200</v>
      </c>
      <c r="K538" s="1073"/>
      <c r="O538" s="324" t="str">
        <f t="shared" si="152"/>
        <v/>
      </c>
      <c r="P538" s="324" t="str">
        <f t="shared" si="153"/>
        <v>5.4 Polyurethan-Harts. (PU) [0,025] (Polyurethan-Hartschaum)</v>
      </c>
      <c r="Q538" s="324"/>
      <c r="R538" s="338">
        <f t="shared" si="162"/>
        <v>2.5000000000000005E-2</v>
      </c>
      <c r="S538" s="1119" t="str">
        <f t="shared" si="161"/>
        <v>5.4 Polyurethan-Harts. (PU)</v>
      </c>
      <c r="T538" s="339"/>
      <c r="U538" s="339" t="str">
        <f t="shared" si="163"/>
        <v>[0,025]</v>
      </c>
      <c r="V538" s="1118" t="s">
        <v>1705</v>
      </c>
    </row>
    <row r="539" spans="2:22" hidden="1">
      <c r="D539" s="228" t="str">
        <f t="shared" si="159"/>
        <v>5.4 Polyurethan-Hartschaum (PU)</v>
      </c>
      <c r="F539" s="1121">
        <f t="shared" si="164"/>
        <v>2.5000000000000005E-2</v>
      </c>
      <c r="G539" s="216">
        <f t="shared" si="160"/>
        <v>2.6000000000000006E-2</v>
      </c>
      <c r="H539" s="1115" t="str">
        <f t="shared" si="165"/>
        <v>40/200</v>
      </c>
      <c r="K539" s="1073"/>
      <c r="O539" s="324" t="str">
        <f t="shared" si="152"/>
        <v/>
      </c>
      <c r="P539" s="324" t="str">
        <f t="shared" si="153"/>
        <v>5.4 Polyurethan-Harts. (PU) [0,026] (Polyurethan-Hartschaum)</v>
      </c>
      <c r="Q539" s="324"/>
      <c r="R539" s="338">
        <f t="shared" si="162"/>
        <v>2.6000000000000006E-2</v>
      </c>
      <c r="S539" s="1119" t="str">
        <f t="shared" si="161"/>
        <v>5.4 Polyurethan-Harts. (PU)</v>
      </c>
      <c r="T539" s="339"/>
      <c r="U539" s="339" t="str">
        <f t="shared" si="163"/>
        <v>[0,026]</v>
      </c>
      <c r="V539" s="1118" t="s">
        <v>1705</v>
      </c>
    </row>
    <row r="540" spans="2:22" hidden="1">
      <c r="D540" s="228" t="str">
        <f t="shared" si="159"/>
        <v>5.4 Polyurethan-Hartschaum (PU)</v>
      </c>
      <c r="F540" s="1121">
        <f t="shared" si="164"/>
        <v>2.6000000000000006E-2</v>
      </c>
      <c r="G540" s="216">
        <f t="shared" si="160"/>
        <v>2.7000000000000007E-2</v>
      </c>
      <c r="H540" s="1115" t="str">
        <f t="shared" si="165"/>
        <v>40/200</v>
      </c>
      <c r="K540" s="1073"/>
      <c r="P540" s="324" t="str">
        <f t="shared" ref="P540:P554" si="166">S540&amp;IF(T540&lt;&gt;""," "&amp;T540,"")&amp;IF(U540&lt;&gt;""," "&amp;U540,"")&amp;IF(V540&lt;&gt;""," "&amp;V540,"")</f>
        <v>5.4 Polyurethan-Harts. (PU) [0,027] (Polyurethan-Hartschaum)</v>
      </c>
      <c r="Q540" s="324"/>
      <c r="R540" s="338">
        <f t="shared" si="162"/>
        <v>2.7000000000000007E-2</v>
      </c>
      <c r="S540" s="1119" t="str">
        <f t="shared" si="161"/>
        <v>5.4 Polyurethan-Harts. (PU)</v>
      </c>
      <c r="T540" s="339"/>
      <c r="U540" s="339" t="str">
        <f t="shared" si="163"/>
        <v>[0,027]</v>
      </c>
      <c r="V540" s="1118" t="s">
        <v>1705</v>
      </c>
    </row>
    <row r="541" spans="2:22" hidden="1">
      <c r="D541" s="228" t="str">
        <f t="shared" si="159"/>
        <v>5.4 Polyurethan-Hartschaum (PU)</v>
      </c>
      <c r="F541" s="1121">
        <f t="shared" si="164"/>
        <v>2.7000000000000007E-2</v>
      </c>
      <c r="G541" s="216">
        <f t="shared" ref="G541:G554" si="167">G540+0.001</f>
        <v>2.8000000000000008E-2</v>
      </c>
      <c r="H541" s="1115" t="str">
        <f t="shared" si="165"/>
        <v>40/200</v>
      </c>
      <c r="K541" s="1073"/>
      <c r="P541" s="324" t="str">
        <f t="shared" si="166"/>
        <v>5.4 Polyurethan-Harts. (PU) [0,028] (Polyurethan-Hartschaum)</v>
      </c>
      <c r="Q541" s="324"/>
      <c r="R541" s="338">
        <f t="shared" si="162"/>
        <v>2.8000000000000008E-2</v>
      </c>
      <c r="S541" s="1119" t="str">
        <f t="shared" si="161"/>
        <v>5.4 Polyurethan-Harts. (PU)</v>
      </c>
      <c r="T541" s="339"/>
      <c r="U541" s="339" t="str">
        <f t="shared" si="163"/>
        <v>[0,028]</v>
      </c>
      <c r="V541" s="1118" t="s">
        <v>1705</v>
      </c>
    </row>
    <row r="542" spans="2:22" hidden="1">
      <c r="D542" s="228" t="str">
        <f t="shared" si="159"/>
        <v>5.4 Polyurethan-Hartschaum (PU)</v>
      </c>
      <c r="F542" s="1121">
        <f t="shared" si="164"/>
        <v>2.8000000000000008E-2</v>
      </c>
      <c r="G542" s="216">
        <f t="shared" si="167"/>
        <v>2.9000000000000008E-2</v>
      </c>
      <c r="H542" s="1115" t="str">
        <f t="shared" si="165"/>
        <v>40/200</v>
      </c>
      <c r="K542" s="1073"/>
      <c r="P542" s="324" t="str">
        <f t="shared" si="166"/>
        <v>5.4 Polyurethan-Harts. (PU) [0,029] (Polyurethan-Hartschaum)</v>
      </c>
      <c r="Q542" s="324"/>
      <c r="R542" s="338">
        <f t="shared" si="162"/>
        <v>2.9000000000000008E-2</v>
      </c>
      <c r="S542" s="1119" t="str">
        <f t="shared" si="161"/>
        <v>5.4 Polyurethan-Harts. (PU)</v>
      </c>
      <c r="T542" s="339"/>
      <c r="U542" s="339" t="str">
        <f t="shared" si="163"/>
        <v>[0,029]</v>
      </c>
      <c r="V542" s="1118" t="s">
        <v>1705</v>
      </c>
    </row>
    <row r="543" spans="2:22" hidden="1">
      <c r="D543" s="228" t="str">
        <f t="shared" si="159"/>
        <v>5.4 Polyurethan-Hartschaum (PU)</v>
      </c>
      <c r="F543" s="1121">
        <f t="shared" si="164"/>
        <v>2.9000000000000008E-2</v>
      </c>
      <c r="G543" s="216">
        <f t="shared" si="167"/>
        <v>3.0000000000000009E-2</v>
      </c>
      <c r="H543" s="1115" t="str">
        <f t="shared" si="165"/>
        <v>40/200</v>
      </c>
      <c r="K543" s="1073"/>
      <c r="P543" s="324" t="str">
        <f t="shared" si="166"/>
        <v>5.4 Polyurethan-Harts. (PU) [0,03] (Polyurethan-Hartschaum)</v>
      </c>
      <c r="Q543" s="324"/>
      <c r="R543" s="338">
        <f t="shared" si="162"/>
        <v>3.0000000000000009E-2</v>
      </c>
      <c r="S543" s="1119" t="str">
        <f t="shared" si="161"/>
        <v>5.4 Polyurethan-Harts. (PU)</v>
      </c>
      <c r="T543" s="339"/>
      <c r="U543" s="339" t="str">
        <f t="shared" si="163"/>
        <v>[0,03]</v>
      </c>
      <c r="V543" s="1118" t="s">
        <v>1705</v>
      </c>
    </row>
    <row r="544" spans="2:22" hidden="1">
      <c r="D544" s="228" t="str">
        <f t="shared" si="159"/>
        <v>5.4 Polyurethan-Hartschaum (PU)</v>
      </c>
      <c r="F544" s="1121">
        <f t="shared" si="164"/>
        <v>3.0000000000000009E-2</v>
      </c>
      <c r="G544" s="216">
        <f t="shared" si="167"/>
        <v>3.100000000000001E-2</v>
      </c>
      <c r="H544" s="1115" t="str">
        <f t="shared" si="165"/>
        <v>40/200</v>
      </c>
      <c r="K544" s="1073"/>
      <c r="P544" s="324" t="str">
        <f t="shared" si="166"/>
        <v>5.4 Polyurethan-Harts. (PU) [0,031] (Polyurethan-Hartschaum)</v>
      </c>
      <c r="Q544" s="324"/>
      <c r="R544" s="338">
        <f t="shared" si="162"/>
        <v>3.100000000000001E-2</v>
      </c>
      <c r="S544" s="1119" t="str">
        <f t="shared" si="161"/>
        <v>5.4 Polyurethan-Harts. (PU)</v>
      </c>
      <c r="T544" s="339"/>
      <c r="U544" s="339" t="str">
        <f t="shared" si="163"/>
        <v>[0,031]</v>
      </c>
      <c r="V544" s="1118" t="s">
        <v>1705</v>
      </c>
    </row>
    <row r="545" spans="2:22" hidden="1">
      <c r="D545" s="228" t="str">
        <f t="shared" si="159"/>
        <v>5.4 Polyurethan-Hartschaum (PU)</v>
      </c>
      <c r="F545" s="1121">
        <f t="shared" si="164"/>
        <v>3.100000000000001E-2</v>
      </c>
      <c r="G545" s="216">
        <f t="shared" si="167"/>
        <v>3.2000000000000008E-2</v>
      </c>
      <c r="H545" s="1115" t="str">
        <f t="shared" si="165"/>
        <v>40/200</v>
      </c>
      <c r="K545" s="1073"/>
      <c r="P545" s="324" t="str">
        <f t="shared" si="166"/>
        <v>5.4 Polyurethan-Harts. (PU) [0,032] (Polyurethan-Hartschaum)</v>
      </c>
      <c r="Q545" s="324"/>
      <c r="R545" s="338">
        <f t="shared" si="162"/>
        <v>3.2000000000000008E-2</v>
      </c>
      <c r="S545" s="1119" t="str">
        <f t="shared" si="161"/>
        <v>5.4 Polyurethan-Harts. (PU)</v>
      </c>
      <c r="T545" s="339"/>
      <c r="U545" s="339" t="str">
        <f t="shared" si="163"/>
        <v>[0,032]</v>
      </c>
      <c r="V545" s="1118" t="s">
        <v>1705</v>
      </c>
    </row>
    <row r="546" spans="2:22" hidden="1">
      <c r="D546" s="228" t="str">
        <f t="shared" si="159"/>
        <v>5.4 Polyurethan-Hartschaum (PU)</v>
      </c>
      <c r="F546" s="1121">
        <f t="shared" si="164"/>
        <v>3.2000000000000008E-2</v>
      </c>
      <c r="G546" s="216">
        <f t="shared" si="167"/>
        <v>3.3000000000000008E-2</v>
      </c>
      <c r="H546" s="1115" t="str">
        <f t="shared" si="165"/>
        <v>40/200</v>
      </c>
      <c r="K546" s="1073"/>
      <c r="P546" s="324" t="str">
        <f t="shared" si="166"/>
        <v>5.4 Polyurethan-Harts. (PU) [0,033] (Polyurethan-Hartschaum)</v>
      </c>
      <c r="Q546" s="324"/>
      <c r="R546" s="338">
        <f t="shared" si="162"/>
        <v>3.3000000000000008E-2</v>
      </c>
      <c r="S546" s="1119" t="str">
        <f>SUBSTITUTE(D546,"chaum",".")</f>
        <v>5.4 Polyurethan-Harts. (PU)</v>
      </c>
      <c r="T546" s="339"/>
      <c r="U546" s="339" t="str">
        <f t="shared" si="163"/>
        <v>[0,033]</v>
      </c>
      <c r="V546" s="1118" t="s">
        <v>1705</v>
      </c>
    </row>
    <row r="547" spans="2:22" hidden="1">
      <c r="D547" s="228" t="str">
        <f t="shared" si="159"/>
        <v>5.4 Polyurethan-Hartschaum (PU)</v>
      </c>
      <c r="F547" s="1121">
        <f t="shared" si="164"/>
        <v>3.3000000000000008E-2</v>
      </c>
      <c r="G547" s="216">
        <f t="shared" si="167"/>
        <v>3.4000000000000009E-2</v>
      </c>
      <c r="H547" s="1115" t="str">
        <f t="shared" si="165"/>
        <v>40/200</v>
      </c>
      <c r="K547" s="1073"/>
      <c r="P547" s="324" t="str">
        <f t="shared" si="166"/>
        <v>5.4 Polyurethan-Harts. (PU) [0,034] (Polyurethan-Hartschaum)</v>
      </c>
      <c r="Q547" s="324"/>
      <c r="R547" s="338">
        <f t="shared" si="162"/>
        <v>3.4000000000000009E-2</v>
      </c>
      <c r="S547" s="1119" t="str">
        <f t="shared" si="161"/>
        <v>5.4 Polyurethan-Harts. (PU)</v>
      </c>
      <c r="T547" s="339"/>
      <c r="U547" s="339" t="str">
        <f t="shared" si="163"/>
        <v>[0,034]</v>
      </c>
      <c r="V547" s="1118" t="s">
        <v>1705</v>
      </c>
    </row>
    <row r="548" spans="2:22" hidden="1">
      <c r="D548" s="228" t="str">
        <f t="shared" si="159"/>
        <v>5.4 Polyurethan-Hartschaum (PU)</v>
      </c>
      <c r="F548" s="1121">
        <f t="shared" si="164"/>
        <v>3.4000000000000009E-2</v>
      </c>
      <c r="G548" s="216">
        <f t="shared" si="167"/>
        <v>3.500000000000001E-2</v>
      </c>
      <c r="H548" s="1115" t="str">
        <f t="shared" si="165"/>
        <v>40/200</v>
      </c>
      <c r="K548" s="1073"/>
      <c r="P548" s="324" t="str">
        <f t="shared" si="166"/>
        <v>5.4 Polyurethan-Harts. (PU) [0,035] (Polyurethan-Hartschaum)</v>
      </c>
      <c r="Q548" s="324"/>
      <c r="R548" s="338">
        <f t="shared" si="162"/>
        <v>3.500000000000001E-2</v>
      </c>
      <c r="S548" s="1119" t="str">
        <f t="shared" si="161"/>
        <v>5.4 Polyurethan-Harts. (PU)</v>
      </c>
      <c r="T548" s="339"/>
      <c r="U548" s="339" t="str">
        <f t="shared" si="163"/>
        <v>[0,035]</v>
      </c>
      <c r="V548" s="1118" t="s">
        <v>1705</v>
      </c>
    </row>
    <row r="549" spans="2:22" hidden="1">
      <c r="D549" s="228" t="str">
        <f t="shared" si="159"/>
        <v>5.4 Polyurethan-Hartschaum (PU)</v>
      </c>
      <c r="F549" s="1121">
        <f t="shared" si="164"/>
        <v>3.500000000000001E-2</v>
      </c>
      <c r="G549" s="216">
        <f t="shared" si="167"/>
        <v>3.6000000000000011E-2</v>
      </c>
      <c r="H549" s="1115" t="str">
        <f t="shared" si="165"/>
        <v>40/200</v>
      </c>
      <c r="K549" s="1073"/>
      <c r="P549" s="324" t="str">
        <f t="shared" si="166"/>
        <v>5.4 Polyurethan-Harts. (PU) [0,036] (Polyurethan-Hartschaum)</v>
      </c>
      <c r="Q549" s="324"/>
      <c r="R549" s="338">
        <f t="shared" si="162"/>
        <v>3.6000000000000011E-2</v>
      </c>
      <c r="S549" s="1119" t="str">
        <f t="shared" si="161"/>
        <v>5.4 Polyurethan-Harts. (PU)</v>
      </c>
      <c r="T549" s="339"/>
      <c r="U549" s="339" t="str">
        <f t="shared" si="163"/>
        <v>[0,036]</v>
      </c>
      <c r="V549" s="1118" t="s">
        <v>1705</v>
      </c>
    </row>
    <row r="550" spans="2:22" hidden="1">
      <c r="D550" s="228" t="str">
        <f t="shared" si="159"/>
        <v>5.4 Polyurethan-Hartschaum (PU)</v>
      </c>
      <c r="F550" s="1121">
        <f t="shared" si="164"/>
        <v>3.6000000000000011E-2</v>
      </c>
      <c r="G550" s="216">
        <f t="shared" si="167"/>
        <v>3.7000000000000012E-2</v>
      </c>
      <c r="H550" s="1115" t="str">
        <f t="shared" si="165"/>
        <v>40/200</v>
      </c>
      <c r="K550" s="1073"/>
      <c r="P550" s="324" t="str">
        <f t="shared" si="166"/>
        <v>5.4 Polyurethan-Harts. (PU) [0,037] (Polyurethan-Hartschaum)</v>
      </c>
      <c r="Q550" s="324"/>
      <c r="R550" s="338">
        <f t="shared" si="162"/>
        <v>3.7000000000000012E-2</v>
      </c>
      <c r="S550" s="1119" t="str">
        <f t="shared" si="161"/>
        <v>5.4 Polyurethan-Harts. (PU)</v>
      </c>
      <c r="T550" s="339"/>
      <c r="U550" s="339" t="str">
        <f t="shared" si="163"/>
        <v>[0,037]</v>
      </c>
      <c r="V550" s="1118" t="s">
        <v>1705</v>
      </c>
    </row>
    <row r="551" spans="2:22" hidden="1">
      <c r="D551" s="228" t="str">
        <f t="shared" si="159"/>
        <v>5.4 Polyurethan-Hartschaum (PU)</v>
      </c>
      <c r="F551" s="1121">
        <f t="shared" si="164"/>
        <v>3.7000000000000012E-2</v>
      </c>
      <c r="G551" s="216">
        <f t="shared" si="167"/>
        <v>3.8000000000000013E-2</v>
      </c>
      <c r="H551" s="1115" t="str">
        <f t="shared" si="165"/>
        <v>40/200</v>
      </c>
      <c r="K551" s="1073"/>
      <c r="P551" s="324" t="str">
        <f t="shared" si="166"/>
        <v>5.4 Polyurethan-Harts. (PU) [0,038] (Polyurethan-Hartschaum)</v>
      </c>
      <c r="Q551" s="324"/>
      <c r="R551" s="338">
        <f t="shared" si="162"/>
        <v>3.8000000000000013E-2</v>
      </c>
      <c r="S551" s="1119" t="str">
        <f t="shared" si="161"/>
        <v>5.4 Polyurethan-Harts. (PU)</v>
      </c>
      <c r="T551" s="339"/>
      <c r="U551" s="339" t="str">
        <f t="shared" si="163"/>
        <v>[0,038]</v>
      </c>
      <c r="V551" s="1118" t="s">
        <v>1705</v>
      </c>
    </row>
    <row r="552" spans="2:22" hidden="1">
      <c r="D552" s="228" t="str">
        <f t="shared" si="159"/>
        <v>5.4 Polyurethan-Hartschaum (PU)</v>
      </c>
      <c r="F552" s="1121">
        <f t="shared" si="164"/>
        <v>3.8000000000000013E-2</v>
      </c>
      <c r="G552" s="216">
        <f t="shared" si="167"/>
        <v>3.9000000000000014E-2</v>
      </c>
      <c r="H552" s="1115" t="str">
        <f t="shared" si="165"/>
        <v>40/200</v>
      </c>
      <c r="K552" s="1073"/>
      <c r="O552" s="324" t="str">
        <f>IF(AND(B552&gt;0,B552,LEFT(B552,1)&lt;&gt;" "),B552,"")</f>
        <v/>
      </c>
      <c r="P552" s="324" t="str">
        <f t="shared" si="166"/>
        <v>5.4 Polyurethan-Harts. (PU) [0,039] (Polyurethan-Hartschaum)</v>
      </c>
      <c r="Q552" s="324"/>
      <c r="R552" s="338">
        <f t="shared" si="162"/>
        <v>3.9000000000000014E-2</v>
      </c>
      <c r="S552" s="1119" t="str">
        <f t="shared" si="161"/>
        <v>5.4 Polyurethan-Harts. (PU)</v>
      </c>
      <c r="T552" s="339"/>
      <c r="U552" s="339" t="str">
        <f t="shared" si="163"/>
        <v>[0,039]</v>
      </c>
      <c r="V552" s="1118" t="s">
        <v>1705</v>
      </c>
    </row>
    <row r="553" spans="2:22" hidden="1">
      <c r="D553" s="228" t="str">
        <f t="shared" si="159"/>
        <v>5.4 Polyurethan-Hartschaum (PU)</v>
      </c>
      <c r="F553" s="1121">
        <f t="shared" si="164"/>
        <v>3.9000000000000014E-2</v>
      </c>
      <c r="G553" s="216">
        <f t="shared" si="167"/>
        <v>4.0000000000000015E-2</v>
      </c>
      <c r="H553" s="1115" t="str">
        <f t="shared" si="165"/>
        <v>40/200</v>
      </c>
      <c r="K553" s="1073"/>
      <c r="O553" s="324" t="str">
        <f>IF(AND(B553&gt;0,B553,LEFT(B553,1)&lt;&gt;" "),B553,"")</f>
        <v/>
      </c>
      <c r="P553" s="324" t="str">
        <f t="shared" si="166"/>
        <v>5.4 Polyurethan-Harts. (PU) [0,04] (Polyurethan-Hartschaum)</v>
      </c>
      <c r="Q553" s="324"/>
      <c r="R553" s="338">
        <f t="shared" si="162"/>
        <v>4.0000000000000015E-2</v>
      </c>
      <c r="S553" s="1119" t="str">
        <f t="shared" si="161"/>
        <v>5.4 Polyurethan-Harts. (PU)</v>
      </c>
      <c r="T553" s="339"/>
      <c r="U553" s="339" t="str">
        <f t="shared" si="163"/>
        <v>[0,04]</v>
      </c>
      <c r="V553" s="1118" t="s">
        <v>1705</v>
      </c>
    </row>
    <row r="554" spans="2:22" hidden="1">
      <c r="D554" s="228" t="str">
        <f t="shared" si="159"/>
        <v>5.4 Polyurethan-Hartschaum (PU)</v>
      </c>
      <c r="F554" s="1121">
        <f t="shared" si="164"/>
        <v>4.0000000000000015E-2</v>
      </c>
      <c r="G554" s="216">
        <f t="shared" si="167"/>
        <v>4.1000000000000016E-2</v>
      </c>
      <c r="H554" s="1115" t="str">
        <f t="shared" si="165"/>
        <v>40/200</v>
      </c>
      <c r="K554" s="1073"/>
      <c r="P554" s="324" t="str">
        <f t="shared" si="166"/>
        <v>5.4 Polyurethan-Harts. (PU) [0,041] (Polyurethan-Hartschaum)</v>
      </c>
      <c r="Q554" s="324"/>
      <c r="R554" s="338">
        <f t="shared" si="162"/>
        <v>4.1000000000000016E-2</v>
      </c>
      <c r="S554" s="1119" t="str">
        <f t="shared" si="161"/>
        <v>5.4 Polyurethan-Harts. (PU)</v>
      </c>
      <c r="T554" s="339"/>
      <c r="U554" s="339" t="str">
        <f t="shared" si="163"/>
        <v>[0,041]</v>
      </c>
      <c r="V554" s="1118" t="s">
        <v>1705</v>
      </c>
    </row>
    <row r="555" spans="2:22" hidden="1">
      <c r="B555" s="213" t="s">
        <v>1469</v>
      </c>
      <c r="D555" s="213" t="s">
        <v>1849</v>
      </c>
      <c r="F555" s="1121">
        <v>0.02</v>
      </c>
      <c r="G555" s="213">
        <v>2.1000000000000001E-2</v>
      </c>
      <c r="H555" s="1122" t="s">
        <v>1474</v>
      </c>
      <c r="I555" s="213" t="s">
        <v>802</v>
      </c>
      <c r="K555" s="1073"/>
      <c r="O555" s="324" t="str">
        <f t="shared" ref="O555:O561" si="168">IF(AND(B555&gt;0,B555,LEFT(B555,1)&lt;&gt;" "),B555,"")</f>
        <v>5.5 Phenolharz-Hartschaum</v>
      </c>
      <c r="P555" s="324" t="str">
        <f t="shared" ref="P555:P561" si="169">S555&amp;IF(T555&lt;&gt;""," "&amp;T555,"")&amp;IF(U555&lt;&gt;""," "&amp;U555,"")&amp;IF(V555&lt;&gt;""," "&amp;V555,"")</f>
        <v>5.5 Phenolharz-Harts. (PF) [0,021] (Phenolharz-Hartschaum)</v>
      </c>
      <c r="Q555" s="324"/>
      <c r="R555" s="338">
        <f t="shared" si="162"/>
        <v>2.1000000000000001E-2</v>
      </c>
      <c r="S555" s="1119" t="str">
        <f t="shared" si="161"/>
        <v>5.5 Phenolharz-Harts. (PF)</v>
      </c>
      <c r="T555" s="339"/>
      <c r="U555" s="339" t="str">
        <f t="shared" si="163"/>
        <v>[0,021]</v>
      </c>
      <c r="V555" s="1118" t="s">
        <v>1706</v>
      </c>
    </row>
    <row r="556" spans="2:22" ht="12" hidden="1" customHeight="1">
      <c r="B556" s="1353" t="s">
        <v>1863</v>
      </c>
      <c r="C556" s="1353"/>
      <c r="D556" s="228" t="str">
        <f t="shared" ref="D556:D570" si="170">D555</f>
        <v>5.5 Phenolharz-Hartschaum (PF)</v>
      </c>
      <c r="F556" s="1121">
        <v>2.1000000000000001E-2</v>
      </c>
      <c r="G556" s="213">
        <f t="shared" ref="G556:G561" si="171">G555+0.001</f>
        <v>2.2000000000000002E-2</v>
      </c>
      <c r="H556" s="1115" t="str">
        <f t="shared" si="165"/>
        <v>10/60</v>
      </c>
      <c r="K556" s="1073"/>
      <c r="O556" s="324" t="str">
        <f t="shared" si="168"/>
        <v/>
      </c>
      <c r="P556" s="324" t="str">
        <f t="shared" si="169"/>
        <v>5.5 Phenolharz-Harts. (PF) [0,022] (Phenolharz-Hartschaum)</v>
      </c>
      <c r="Q556" s="324"/>
      <c r="R556" s="338">
        <f t="shared" si="162"/>
        <v>2.2000000000000002E-2</v>
      </c>
      <c r="S556" s="1119" t="str">
        <f t="shared" si="161"/>
        <v>5.5 Phenolharz-Harts. (PF)</v>
      </c>
      <c r="T556" s="339"/>
      <c r="U556" s="339" t="str">
        <f t="shared" si="163"/>
        <v>[0,022]</v>
      </c>
      <c r="V556" s="1118" t="s">
        <v>1706</v>
      </c>
    </row>
    <row r="557" spans="2:22" hidden="1">
      <c r="B557" s="1353"/>
      <c r="C557" s="1353"/>
      <c r="D557" s="228" t="str">
        <f t="shared" si="170"/>
        <v>5.5 Phenolharz-Hartschaum (PF)</v>
      </c>
      <c r="F557" s="1121">
        <f>F556+0.001</f>
        <v>2.2000000000000002E-2</v>
      </c>
      <c r="G557" s="216">
        <f t="shared" si="171"/>
        <v>2.3000000000000003E-2</v>
      </c>
      <c r="H557" s="1115" t="str">
        <f t="shared" si="165"/>
        <v>10/60</v>
      </c>
      <c r="K557" s="1073"/>
      <c r="O557" s="324" t="str">
        <f t="shared" si="168"/>
        <v/>
      </c>
      <c r="P557" s="324" t="str">
        <f t="shared" si="169"/>
        <v>5.5 Phenolharz-Harts. (PF) [0,023] (Phenolharz-Hartschaum)</v>
      </c>
      <c r="Q557" s="324"/>
      <c r="R557" s="338">
        <f t="shared" si="162"/>
        <v>2.3000000000000003E-2</v>
      </c>
      <c r="S557" s="1119" t="str">
        <f t="shared" si="161"/>
        <v>5.5 Phenolharz-Harts. (PF)</v>
      </c>
      <c r="T557" s="339"/>
      <c r="U557" s="339" t="str">
        <f t="shared" si="163"/>
        <v>[0,023]</v>
      </c>
      <c r="V557" s="1118" t="s">
        <v>1706</v>
      </c>
    </row>
    <row r="558" spans="2:22" hidden="1">
      <c r="D558" s="228" t="str">
        <f t="shared" si="170"/>
        <v>5.5 Phenolharz-Hartschaum (PF)</v>
      </c>
      <c r="F558" s="1121">
        <f t="shared" ref="F558:F570" si="172">F557+0.001</f>
        <v>2.3000000000000003E-2</v>
      </c>
      <c r="G558" s="216">
        <f t="shared" si="171"/>
        <v>2.4000000000000004E-2</v>
      </c>
      <c r="H558" s="1115" t="str">
        <f t="shared" si="165"/>
        <v>10/60</v>
      </c>
      <c r="K558" s="1073"/>
      <c r="O558" s="324" t="str">
        <f t="shared" si="168"/>
        <v/>
      </c>
      <c r="P558" s="324" t="str">
        <f t="shared" si="169"/>
        <v>5.5 Phenolharz-Harts. (PF) [0,024] (Phenolharz-Hartschaum)</v>
      </c>
      <c r="Q558" s="324"/>
      <c r="R558" s="338">
        <f t="shared" si="162"/>
        <v>2.4000000000000004E-2</v>
      </c>
      <c r="S558" s="1119" t="str">
        <f t="shared" si="161"/>
        <v>5.5 Phenolharz-Harts. (PF)</v>
      </c>
      <c r="T558" s="339"/>
      <c r="U558" s="339" t="str">
        <f t="shared" si="163"/>
        <v>[0,024]</v>
      </c>
      <c r="V558" s="1118" t="s">
        <v>1706</v>
      </c>
    </row>
    <row r="559" spans="2:22" hidden="1">
      <c r="D559" s="228" t="str">
        <f t="shared" si="170"/>
        <v>5.5 Phenolharz-Hartschaum (PF)</v>
      </c>
      <c r="F559" s="1121">
        <f t="shared" si="172"/>
        <v>2.4000000000000004E-2</v>
      </c>
      <c r="G559" s="216">
        <f t="shared" si="171"/>
        <v>2.5000000000000005E-2</v>
      </c>
      <c r="H559" s="1115" t="str">
        <f t="shared" si="165"/>
        <v>10/60</v>
      </c>
      <c r="K559" s="1073"/>
      <c r="O559" s="324" t="str">
        <f t="shared" si="168"/>
        <v/>
      </c>
      <c r="P559" s="324" t="str">
        <f t="shared" si="169"/>
        <v>5.5 Phenolharz-Harts. (PF) [0,025] (Phenolharz-Hartschaum)</v>
      </c>
      <c r="Q559" s="324"/>
      <c r="R559" s="338">
        <f t="shared" si="162"/>
        <v>2.5000000000000005E-2</v>
      </c>
      <c r="S559" s="1119" t="str">
        <f t="shared" si="161"/>
        <v>5.5 Phenolharz-Harts. (PF)</v>
      </c>
      <c r="T559" s="339"/>
      <c r="U559" s="339" t="str">
        <f t="shared" si="163"/>
        <v>[0,025]</v>
      </c>
      <c r="V559" s="1118" t="s">
        <v>1706</v>
      </c>
    </row>
    <row r="560" spans="2:22" hidden="1">
      <c r="D560" s="228" t="str">
        <f t="shared" si="170"/>
        <v>5.5 Phenolharz-Hartschaum (PF)</v>
      </c>
      <c r="F560" s="1121">
        <f t="shared" si="172"/>
        <v>2.5000000000000005E-2</v>
      </c>
      <c r="G560" s="216">
        <f t="shared" si="171"/>
        <v>2.6000000000000006E-2</v>
      </c>
      <c r="H560" s="1115" t="str">
        <f t="shared" si="165"/>
        <v>10/60</v>
      </c>
      <c r="K560" s="1073"/>
      <c r="O560" s="324" t="str">
        <f t="shared" si="168"/>
        <v/>
      </c>
      <c r="P560" s="324" t="str">
        <f t="shared" si="169"/>
        <v>5.5 Phenolharz-Harts. (PF) [0,026] (Phenolharz-Hartschaum)</v>
      </c>
      <c r="Q560" s="324"/>
      <c r="R560" s="338">
        <f t="shared" si="162"/>
        <v>2.6000000000000006E-2</v>
      </c>
      <c r="S560" s="1119" t="str">
        <f t="shared" si="161"/>
        <v>5.5 Phenolharz-Harts. (PF)</v>
      </c>
      <c r="T560" s="339"/>
      <c r="U560" s="339" t="str">
        <f t="shared" si="163"/>
        <v>[0,026]</v>
      </c>
      <c r="V560" s="1118" t="s">
        <v>1706</v>
      </c>
    </row>
    <row r="561" spans="2:22" hidden="1">
      <c r="D561" s="228" t="str">
        <f t="shared" si="170"/>
        <v>5.5 Phenolharz-Hartschaum (PF)</v>
      </c>
      <c r="F561" s="1121">
        <f t="shared" si="172"/>
        <v>2.6000000000000006E-2</v>
      </c>
      <c r="G561" s="216">
        <f t="shared" si="171"/>
        <v>2.7000000000000007E-2</v>
      </c>
      <c r="H561" s="1115" t="str">
        <f t="shared" si="165"/>
        <v>10/60</v>
      </c>
      <c r="K561" s="1073"/>
      <c r="O561" s="324" t="str">
        <f t="shared" si="168"/>
        <v/>
      </c>
      <c r="P561" s="324" t="str">
        <f t="shared" si="169"/>
        <v>5.5 Phenolharz-Harts. (PF) [0,027] (Phenolharz-Hartschaum)</v>
      </c>
      <c r="Q561" s="324"/>
      <c r="R561" s="338">
        <f t="shared" si="162"/>
        <v>2.7000000000000007E-2</v>
      </c>
      <c r="S561" s="1119" t="str">
        <f t="shared" si="161"/>
        <v>5.5 Phenolharz-Harts. (PF)</v>
      </c>
      <c r="T561" s="339"/>
      <c r="U561" s="339" t="str">
        <f t="shared" si="163"/>
        <v>[0,027]</v>
      </c>
      <c r="V561" s="1118" t="s">
        <v>1706</v>
      </c>
    </row>
    <row r="562" spans="2:22" hidden="1">
      <c r="D562" s="228" t="str">
        <f t="shared" si="170"/>
        <v>5.5 Phenolharz-Hartschaum (PF)</v>
      </c>
      <c r="F562" s="1121">
        <f t="shared" si="172"/>
        <v>2.7000000000000007E-2</v>
      </c>
      <c r="G562" s="216">
        <f t="shared" ref="G562:G569" si="173">G561+0.001</f>
        <v>2.8000000000000008E-2</v>
      </c>
      <c r="H562" s="1115" t="str">
        <f t="shared" si="165"/>
        <v>10/60</v>
      </c>
      <c r="K562" s="1073"/>
      <c r="P562" s="324" t="str">
        <f t="shared" ref="P562:P570" si="174">S562&amp;IF(T562&lt;&gt;""," "&amp;T562,"")&amp;IF(U562&lt;&gt;""," "&amp;U562,"")&amp;IF(V562&lt;&gt;""," "&amp;V562,"")</f>
        <v>5.5 Phenolharz-Harts. (PF) [0,028] (Phenolharz-Hartschaum)</v>
      </c>
      <c r="Q562" s="324"/>
      <c r="R562" s="338">
        <f t="shared" si="162"/>
        <v>2.8000000000000008E-2</v>
      </c>
      <c r="S562" s="1119" t="str">
        <f t="shared" si="161"/>
        <v>5.5 Phenolharz-Harts. (PF)</v>
      </c>
      <c r="T562" s="339"/>
      <c r="U562" s="339" t="str">
        <f t="shared" si="163"/>
        <v>[0,028]</v>
      </c>
      <c r="V562" s="1118" t="s">
        <v>1706</v>
      </c>
    </row>
    <row r="563" spans="2:22" hidden="1">
      <c r="D563" s="228" t="str">
        <f t="shared" si="170"/>
        <v>5.5 Phenolharz-Hartschaum (PF)</v>
      </c>
      <c r="F563" s="1121">
        <f t="shared" si="172"/>
        <v>2.8000000000000008E-2</v>
      </c>
      <c r="G563" s="216">
        <f t="shared" si="173"/>
        <v>2.9000000000000008E-2</v>
      </c>
      <c r="H563" s="1115" t="str">
        <f t="shared" si="165"/>
        <v>10/60</v>
      </c>
      <c r="K563" s="1073"/>
      <c r="P563" s="324" t="str">
        <f t="shared" si="174"/>
        <v>5.5 Phenolharz-Harts. (PF) [0,029] (Phenolharz-Hartschaum)</v>
      </c>
      <c r="Q563" s="324"/>
      <c r="R563" s="338">
        <f t="shared" si="162"/>
        <v>2.9000000000000008E-2</v>
      </c>
      <c r="S563" s="1119" t="str">
        <f t="shared" si="161"/>
        <v>5.5 Phenolharz-Harts. (PF)</v>
      </c>
      <c r="T563" s="339"/>
      <c r="U563" s="339" t="str">
        <f t="shared" si="163"/>
        <v>[0,029]</v>
      </c>
      <c r="V563" s="1118" t="s">
        <v>1706</v>
      </c>
    </row>
    <row r="564" spans="2:22" hidden="1">
      <c r="D564" s="228" t="str">
        <f t="shared" si="170"/>
        <v>5.5 Phenolharz-Hartschaum (PF)</v>
      </c>
      <c r="F564" s="1121">
        <f t="shared" si="172"/>
        <v>2.9000000000000008E-2</v>
      </c>
      <c r="G564" s="216">
        <f t="shared" si="173"/>
        <v>3.0000000000000009E-2</v>
      </c>
      <c r="H564" s="1115" t="str">
        <f t="shared" si="165"/>
        <v>10/60</v>
      </c>
      <c r="K564" s="1073"/>
      <c r="P564" s="324" t="str">
        <f t="shared" si="174"/>
        <v>5.5 Phenolharz-Harts. (PF) [0,03] (Phenolharz-Hartschaum)</v>
      </c>
      <c r="Q564" s="324"/>
      <c r="R564" s="338">
        <f t="shared" si="162"/>
        <v>3.0000000000000009E-2</v>
      </c>
      <c r="S564" s="1119" t="str">
        <f t="shared" si="161"/>
        <v>5.5 Phenolharz-Harts. (PF)</v>
      </c>
      <c r="T564" s="339"/>
      <c r="U564" s="339" t="str">
        <f t="shared" si="163"/>
        <v>[0,03]</v>
      </c>
      <c r="V564" s="1118" t="s">
        <v>1706</v>
      </c>
    </row>
    <row r="565" spans="2:22" hidden="1">
      <c r="D565" s="228" t="str">
        <f t="shared" si="170"/>
        <v>5.5 Phenolharz-Hartschaum (PF)</v>
      </c>
      <c r="F565" s="1121">
        <f t="shared" si="172"/>
        <v>3.0000000000000009E-2</v>
      </c>
      <c r="G565" s="216">
        <f t="shared" si="173"/>
        <v>3.100000000000001E-2</v>
      </c>
      <c r="H565" s="1115" t="str">
        <f t="shared" si="165"/>
        <v>10/60</v>
      </c>
      <c r="K565" s="1073"/>
      <c r="P565" s="324" t="str">
        <f t="shared" si="174"/>
        <v>5.5 Phenolharz-Harts. (PF) [0,031] (Phenolharz-Hartschaum)</v>
      </c>
      <c r="Q565" s="324"/>
      <c r="R565" s="338">
        <f t="shared" si="162"/>
        <v>3.100000000000001E-2</v>
      </c>
      <c r="S565" s="1119" t="str">
        <f t="shared" si="161"/>
        <v>5.5 Phenolharz-Harts. (PF)</v>
      </c>
      <c r="T565" s="339"/>
      <c r="U565" s="339" t="str">
        <f t="shared" si="163"/>
        <v>[0,031]</v>
      </c>
      <c r="V565" s="1118" t="s">
        <v>1706</v>
      </c>
    </row>
    <row r="566" spans="2:22" hidden="1">
      <c r="D566" s="228" t="str">
        <f t="shared" si="170"/>
        <v>5.5 Phenolharz-Hartschaum (PF)</v>
      </c>
      <c r="F566" s="1121">
        <f t="shared" si="172"/>
        <v>3.100000000000001E-2</v>
      </c>
      <c r="G566" s="216">
        <f t="shared" si="173"/>
        <v>3.2000000000000008E-2</v>
      </c>
      <c r="H566" s="1115" t="str">
        <f t="shared" si="165"/>
        <v>10/60</v>
      </c>
      <c r="K566" s="1073"/>
      <c r="P566" s="324" t="str">
        <f t="shared" si="174"/>
        <v>5.5 Phenolharz-Harts. (PF) [0,032] (Phenolharz-Hartschaum)</v>
      </c>
      <c r="Q566" s="324"/>
      <c r="R566" s="338">
        <f t="shared" si="162"/>
        <v>3.2000000000000008E-2</v>
      </c>
      <c r="S566" s="1119" t="str">
        <f t="shared" si="161"/>
        <v>5.5 Phenolharz-Harts. (PF)</v>
      </c>
      <c r="T566" s="339"/>
      <c r="U566" s="339" t="str">
        <f t="shared" si="163"/>
        <v>[0,032]</v>
      </c>
      <c r="V566" s="1118" t="s">
        <v>1706</v>
      </c>
    </row>
    <row r="567" spans="2:22" hidden="1">
      <c r="D567" s="228" t="str">
        <f t="shared" si="170"/>
        <v>5.5 Phenolharz-Hartschaum (PF)</v>
      </c>
      <c r="F567" s="1121">
        <f t="shared" si="172"/>
        <v>3.2000000000000008E-2</v>
      </c>
      <c r="G567" s="216">
        <f t="shared" si="173"/>
        <v>3.3000000000000008E-2</v>
      </c>
      <c r="H567" s="1115" t="str">
        <f t="shared" si="165"/>
        <v>10/60</v>
      </c>
      <c r="K567" s="1073"/>
      <c r="P567" s="324" t="str">
        <f t="shared" si="174"/>
        <v>5.5 Phenolharz-Harts. (PF) [0,033] (Phenolharz-Hartschaum)</v>
      </c>
      <c r="Q567" s="324"/>
      <c r="R567" s="338">
        <f t="shared" si="162"/>
        <v>3.3000000000000008E-2</v>
      </c>
      <c r="S567" s="1119" t="str">
        <f t="shared" si="161"/>
        <v>5.5 Phenolharz-Harts. (PF)</v>
      </c>
      <c r="T567" s="339"/>
      <c r="U567" s="339" t="str">
        <f t="shared" si="163"/>
        <v>[0,033]</v>
      </c>
      <c r="V567" s="1118" t="s">
        <v>1706</v>
      </c>
    </row>
    <row r="568" spans="2:22" hidden="1">
      <c r="D568" s="228" t="str">
        <f t="shared" si="170"/>
        <v>5.5 Phenolharz-Hartschaum (PF)</v>
      </c>
      <c r="F568" s="1121">
        <f t="shared" si="172"/>
        <v>3.3000000000000008E-2</v>
      </c>
      <c r="G568" s="216">
        <f t="shared" si="173"/>
        <v>3.4000000000000009E-2</v>
      </c>
      <c r="H568" s="1115" t="str">
        <f t="shared" si="165"/>
        <v>10/60</v>
      </c>
      <c r="K568" s="1073"/>
      <c r="P568" s="324" t="str">
        <f t="shared" si="174"/>
        <v>5.5 Phenolharz-Harts. (PF) [0,034] (Phenolharz-Hartschaum)</v>
      </c>
      <c r="Q568" s="324"/>
      <c r="R568" s="338">
        <f t="shared" si="162"/>
        <v>3.4000000000000009E-2</v>
      </c>
      <c r="S568" s="1119" t="str">
        <f t="shared" si="161"/>
        <v>5.5 Phenolharz-Harts. (PF)</v>
      </c>
      <c r="T568" s="339"/>
      <c r="U568" s="339" t="str">
        <f t="shared" si="163"/>
        <v>[0,034]</v>
      </c>
      <c r="V568" s="1118" t="s">
        <v>1706</v>
      </c>
    </row>
    <row r="569" spans="2:22" hidden="1">
      <c r="D569" s="228" t="str">
        <f t="shared" si="170"/>
        <v>5.5 Phenolharz-Hartschaum (PF)</v>
      </c>
      <c r="F569" s="1121">
        <f t="shared" si="172"/>
        <v>3.4000000000000009E-2</v>
      </c>
      <c r="G569" s="216">
        <f t="shared" si="173"/>
        <v>3.500000000000001E-2</v>
      </c>
      <c r="H569" s="1115" t="str">
        <f t="shared" si="165"/>
        <v>10/60</v>
      </c>
      <c r="K569" s="1073"/>
      <c r="P569" s="324" t="str">
        <f t="shared" si="174"/>
        <v>5.5 Phenolharz-Harts. (PF) [0,035] (Phenolharz-Hartschaum)</v>
      </c>
      <c r="Q569" s="324"/>
      <c r="R569" s="338">
        <f t="shared" si="162"/>
        <v>3.500000000000001E-2</v>
      </c>
      <c r="S569" s="1119" t="str">
        <f t="shared" si="161"/>
        <v>5.5 Phenolharz-Harts. (PF)</v>
      </c>
      <c r="T569" s="339"/>
      <c r="U569" s="339" t="str">
        <f t="shared" si="163"/>
        <v>[0,035]</v>
      </c>
      <c r="V569" s="1118" t="s">
        <v>1706</v>
      </c>
    </row>
    <row r="570" spans="2:22" hidden="1">
      <c r="D570" s="228" t="str">
        <f t="shared" si="170"/>
        <v>5.5 Phenolharz-Hartschaum (PF)</v>
      </c>
      <c r="F570" s="1121">
        <f t="shared" si="172"/>
        <v>3.500000000000001E-2</v>
      </c>
      <c r="G570" s="213">
        <v>3.5999999999999997E-2</v>
      </c>
      <c r="H570" s="1115" t="str">
        <f t="shared" si="165"/>
        <v>10/60</v>
      </c>
      <c r="K570" s="1073"/>
      <c r="O570" s="324" t="str">
        <f t="shared" ref="O570:O576" si="175">IF(AND(B570&gt;0,B570,LEFT(B570,1)&lt;&gt;" "),B570,"")</f>
        <v/>
      </c>
      <c r="P570" s="324" t="str">
        <f t="shared" si="174"/>
        <v>5.5 Phenolharz-Harts. (PF) [0,036] (Phenolharz-Hartschaum)</v>
      </c>
      <c r="Q570" s="324"/>
      <c r="R570" s="338">
        <f t="shared" si="162"/>
        <v>3.5999999999999997E-2</v>
      </c>
      <c r="S570" s="1119" t="str">
        <f t="shared" si="161"/>
        <v>5.5 Phenolharz-Harts. (PF)</v>
      </c>
      <c r="T570" s="339"/>
      <c r="U570" s="339" t="str">
        <f t="shared" si="163"/>
        <v>[0,036]</v>
      </c>
      <c r="V570" s="1118" t="s">
        <v>1706</v>
      </c>
    </row>
    <row r="571" spans="2:22" hidden="1">
      <c r="B571" s="213" t="s">
        <v>1470</v>
      </c>
      <c r="D571" s="213" t="s">
        <v>1850</v>
      </c>
      <c r="F571" s="1121">
        <v>3.6999999999999998E-2</v>
      </c>
      <c r="G571" s="213">
        <v>3.7999999999999999E-2</v>
      </c>
      <c r="H571" s="1122"/>
      <c r="I571" s="213" t="s">
        <v>1176</v>
      </c>
      <c r="K571" s="1073"/>
      <c r="O571" s="324" t="str">
        <f t="shared" si="175"/>
        <v>5.6 Schaumglas</v>
      </c>
      <c r="P571" s="324" t="str">
        <f>S571&amp;IF(T571&lt;&gt;""," "&amp;T571,"")&amp;IF(U571&lt;&gt;""," "&amp;U571,"")&amp;IF(V571&lt;&gt;""," "&amp;V571,"")</f>
        <v>5.6 Schaumglas (CG) [0,038]</v>
      </c>
      <c r="Q571" s="324"/>
      <c r="R571" s="338">
        <f t="shared" si="162"/>
        <v>3.7999999999999999E-2</v>
      </c>
      <c r="S571" s="330" t="str">
        <f t="shared" ref="S571:S603" si="176">D571</f>
        <v>5.6 Schaumglas (CG)</v>
      </c>
      <c r="T571" s="339"/>
      <c r="U571" s="339" t="str">
        <f t="shared" si="163"/>
        <v>[0,038]</v>
      </c>
    </row>
    <row r="572" spans="2:22" ht="12" hidden="1" customHeight="1">
      <c r="B572" s="1353" t="s">
        <v>1862</v>
      </c>
      <c r="C572" s="1353"/>
      <c r="D572" s="228" t="str">
        <f t="shared" ref="D572:D589" si="177">D571</f>
        <v>5.6 Schaumglas (CG)</v>
      </c>
      <c r="F572" s="1121">
        <v>3.7999999999999999E-2</v>
      </c>
      <c r="G572" s="213">
        <f>G571+0.001</f>
        <v>3.9E-2</v>
      </c>
      <c r="H572" s="1115"/>
      <c r="K572" s="1073"/>
      <c r="O572" s="324" t="str">
        <f t="shared" si="175"/>
        <v/>
      </c>
      <c r="P572" s="324" t="str">
        <f t="shared" ref="P572:P588" si="178">S572&amp;IF(T572&lt;&gt;""," "&amp;T572,"")&amp;IF(U572&lt;&gt;""," "&amp;U572,"")&amp;IF(V572&lt;&gt;""," "&amp;V572,"")</f>
        <v>5.6 Schaumglas (CG) [0,039]</v>
      </c>
      <c r="Q572" s="324"/>
      <c r="R572" s="338">
        <f t="shared" si="162"/>
        <v>3.9E-2</v>
      </c>
      <c r="S572" s="330" t="str">
        <f t="shared" si="176"/>
        <v>5.6 Schaumglas (CG)</v>
      </c>
      <c r="T572" s="339"/>
      <c r="U572" s="339" t="str">
        <f t="shared" si="163"/>
        <v>[0,039]</v>
      </c>
    </row>
    <row r="573" spans="2:22" hidden="1">
      <c r="B573" s="1353"/>
      <c r="C573" s="1353"/>
      <c r="D573" s="228" t="str">
        <f t="shared" si="177"/>
        <v>5.6 Schaumglas (CG)</v>
      </c>
      <c r="F573" s="1121">
        <f>F572+0.001</f>
        <v>3.9E-2</v>
      </c>
      <c r="G573" s="216">
        <f>G572+0.001</f>
        <v>0.04</v>
      </c>
      <c r="H573" s="1115"/>
      <c r="K573" s="1073"/>
      <c r="O573" s="324" t="str">
        <f t="shared" si="175"/>
        <v/>
      </c>
      <c r="P573" s="324" t="str">
        <f t="shared" si="178"/>
        <v>5.6 Schaumglas (CG) [0,04]</v>
      </c>
      <c r="Q573" s="324"/>
      <c r="R573" s="338">
        <f t="shared" si="162"/>
        <v>0.04</v>
      </c>
      <c r="S573" s="330" t="str">
        <f t="shared" si="176"/>
        <v>5.6 Schaumglas (CG)</v>
      </c>
      <c r="T573" s="339"/>
      <c r="U573" s="339" t="str">
        <f t="shared" si="163"/>
        <v>[0,04]</v>
      </c>
    </row>
    <row r="574" spans="2:22" hidden="1">
      <c r="D574" s="228" t="str">
        <f t="shared" si="177"/>
        <v>5.6 Schaumglas (CG)</v>
      </c>
      <c r="F574" s="1121">
        <f t="shared" ref="F574:F589" si="179">F573+0.001</f>
        <v>0.04</v>
      </c>
      <c r="G574" s="216">
        <f>G573+0.001</f>
        <v>4.1000000000000002E-2</v>
      </c>
      <c r="H574" s="1115"/>
      <c r="K574" s="1073"/>
      <c r="O574" s="324" t="str">
        <f t="shared" si="175"/>
        <v/>
      </c>
      <c r="P574" s="324" t="str">
        <f t="shared" si="178"/>
        <v>5.6 Schaumglas (CG) [0,041]</v>
      </c>
      <c r="Q574" s="324"/>
      <c r="R574" s="338">
        <f t="shared" si="162"/>
        <v>4.1000000000000002E-2</v>
      </c>
      <c r="S574" s="330" t="str">
        <f t="shared" si="176"/>
        <v>5.6 Schaumglas (CG)</v>
      </c>
      <c r="T574" s="339"/>
      <c r="U574" s="339" t="str">
        <f t="shared" si="163"/>
        <v>[0,041]</v>
      </c>
    </row>
    <row r="575" spans="2:22" hidden="1">
      <c r="D575" s="228" t="str">
        <f t="shared" si="177"/>
        <v>5.6 Schaumglas (CG)</v>
      </c>
      <c r="F575" s="1121">
        <f t="shared" si="179"/>
        <v>4.1000000000000002E-2</v>
      </c>
      <c r="G575" s="216">
        <f t="shared" ref="G575:G588" si="180">G574+0.001</f>
        <v>4.2000000000000003E-2</v>
      </c>
      <c r="H575" s="1115"/>
      <c r="K575" s="1073"/>
      <c r="O575" s="324" t="str">
        <f t="shared" si="175"/>
        <v/>
      </c>
      <c r="P575" s="324" t="str">
        <f t="shared" si="178"/>
        <v>5.6 Schaumglas (CG) [0,042]</v>
      </c>
      <c r="Q575" s="324"/>
      <c r="R575" s="338">
        <f t="shared" si="162"/>
        <v>4.2000000000000003E-2</v>
      </c>
      <c r="S575" s="330" t="str">
        <f t="shared" si="176"/>
        <v>5.6 Schaumglas (CG)</v>
      </c>
      <c r="T575" s="339"/>
      <c r="U575" s="339" t="str">
        <f t="shared" si="163"/>
        <v>[0,042]</v>
      </c>
    </row>
    <row r="576" spans="2:22" hidden="1">
      <c r="D576" s="228" t="str">
        <f t="shared" si="177"/>
        <v>5.6 Schaumglas (CG)</v>
      </c>
      <c r="F576" s="1121">
        <f t="shared" si="179"/>
        <v>4.2000000000000003E-2</v>
      </c>
      <c r="G576" s="216">
        <f t="shared" si="180"/>
        <v>4.3000000000000003E-2</v>
      </c>
      <c r="H576" s="1115"/>
      <c r="K576" s="1073"/>
      <c r="O576" s="324" t="str">
        <f t="shared" si="175"/>
        <v/>
      </c>
      <c r="P576" s="324" t="str">
        <f t="shared" si="178"/>
        <v>5.6 Schaumglas (CG) [0,043]</v>
      </c>
      <c r="Q576" s="324"/>
      <c r="R576" s="338">
        <f t="shared" si="162"/>
        <v>4.3000000000000003E-2</v>
      </c>
      <c r="S576" s="330" t="str">
        <f t="shared" si="176"/>
        <v>5.6 Schaumglas (CG)</v>
      </c>
      <c r="T576" s="339"/>
      <c r="U576" s="339" t="str">
        <f t="shared" si="163"/>
        <v>[0,043]</v>
      </c>
    </row>
    <row r="577" spans="2:21" hidden="1">
      <c r="D577" s="228" t="str">
        <f t="shared" si="177"/>
        <v>5.6 Schaumglas (CG)</v>
      </c>
      <c r="F577" s="1121">
        <f t="shared" si="179"/>
        <v>4.3000000000000003E-2</v>
      </c>
      <c r="G577" s="216">
        <f t="shared" si="180"/>
        <v>4.4000000000000004E-2</v>
      </c>
      <c r="H577" s="1115"/>
      <c r="K577" s="1073"/>
      <c r="P577" s="324" t="str">
        <f t="shared" si="178"/>
        <v>5.6 Schaumglas (CG) [0,044]</v>
      </c>
      <c r="Q577" s="324"/>
      <c r="R577" s="338">
        <f t="shared" si="162"/>
        <v>4.4000000000000004E-2</v>
      </c>
      <c r="S577" s="330" t="str">
        <f t="shared" si="176"/>
        <v>5.6 Schaumglas (CG)</v>
      </c>
      <c r="T577" s="339"/>
      <c r="U577" s="339" t="str">
        <f t="shared" si="163"/>
        <v>[0,044]</v>
      </c>
    </row>
    <row r="578" spans="2:21" hidden="1">
      <c r="D578" s="228" t="str">
        <f t="shared" si="177"/>
        <v>5.6 Schaumglas (CG)</v>
      </c>
      <c r="F578" s="1121">
        <f t="shared" si="179"/>
        <v>4.4000000000000004E-2</v>
      </c>
      <c r="G578" s="216">
        <f t="shared" si="180"/>
        <v>4.5000000000000005E-2</v>
      </c>
      <c r="H578" s="1115"/>
      <c r="K578" s="1073"/>
      <c r="P578" s="324" t="str">
        <f t="shared" si="178"/>
        <v>5.6 Schaumglas (CG) [0,045]</v>
      </c>
      <c r="Q578" s="324"/>
      <c r="R578" s="338">
        <f t="shared" si="162"/>
        <v>4.5000000000000005E-2</v>
      </c>
      <c r="S578" s="330" t="str">
        <f t="shared" si="176"/>
        <v>5.6 Schaumglas (CG)</v>
      </c>
      <c r="T578" s="339"/>
      <c r="U578" s="339" t="str">
        <f t="shared" si="163"/>
        <v>[0,045]</v>
      </c>
    </row>
    <row r="579" spans="2:21" hidden="1">
      <c r="D579" s="228" t="str">
        <f t="shared" si="177"/>
        <v>5.6 Schaumglas (CG)</v>
      </c>
      <c r="F579" s="1121">
        <f t="shared" si="179"/>
        <v>4.5000000000000005E-2</v>
      </c>
      <c r="G579" s="216">
        <f t="shared" si="180"/>
        <v>4.6000000000000006E-2</v>
      </c>
      <c r="H579" s="1115"/>
      <c r="K579" s="1073"/>
      <c r="P579" s="324" t="str">
        <f t="shared" si="178"/>
        <v>5.6 Schaumglas (CG) [0,046]</v>
      </c>
      <c r="Q579" s="324"/>
      <c r="R579" s="338">
        <f t="shared" si="162"/>
        <v>4.6000000000000006E-2</v>
      </c>
      <c r="S579" s="330" t="str">
        <f t="shared" si="176"/>
        <v>5.6 Schaumglas (CG)</v>
      </c>
      <c r="T579" s="339"/>
      <c r="U579" s="339" t="str">
        <f t="shared" si="163"/>
        <v>[0,046]</v>
      </c>
    </row>
    <row r="580" spans="2:21" hidden="1">
      <c r="D580" s="228" t="str">
        <f t="shared" si="177"/>
        <v>5.6 Schaumglas (CG)</v>
      </c>
      <c r="F580" s="1121">
        <f t="shared" si="179"/>
        <v>4.6000000000000006E-2</v>
      </c>
      <c r="G580" s="216">
        <f t="shared" si="180"/>
        <v>4.7000000000000007E-2</v>
      </c>
      <c r="H580" s="1115"/>
      <c r="K580" s="1073"/>
      <c r="P580" s="324" t="str">
        <f t="shared" si="178"/>
        <v>5.6 Schaumglas (CG) [0,047]</v>
      </c>
      <c r="Q580" s="324"/>
      <c r="R580" s="338">
        <f t="shared" si="162"/>
        <v>4.7000000000000007E-2</v>
      </c>
      <c r="S580" s="330" t="str">
        <f t="shared" si="176"/>
        <v>5.6 Schaumglas (CG)</v>
      </c>
      <c r="T580" s="339"/>
      <c r="U580" s="339" t="str">
        <f t="shared" si="163"/>
        <v>[0,047]</v>
      </c>
    </row>
    <row r="581" spans="2:21" hidden="1">
      <c r="D581" s="228" t="str">
        <f t="shared" si="177"/>
        <v>5.6 Schaumglas (CG)</v>
      </c>
      <c r="F581" s="1121">
        <f t="shared" si="179"/>
        <v>4.7000000000000007E-2</v>
      </c>
      <c r="G581" s="216">
        <f t="shared" si="180"/>
        <v>4.8000000000000008E-2</v>
      </c>
      <c r="H581" s="1115"/>
      <c r="K581" s="1073"/>
      <c r="P581" s="324" t="str">
        <f t="shared" si="178"/>
        <v>5.6 Schaumglas (CG) [0,048]</v>
      </c>
      <c r="Q581" s="324"/>
      <c r="R581" s="338">
        <f t="shared" si="162"/>
        <v>4.8000000000000008E-2</v>
      </c>
      <c r="S581" s="330" t="str">
        <f t="shared" si="176"/>
        <v>5.6 Schaumglas (CG)</v>
      </c>
      <c r="T581" s="339"/>
      <c r="U581" s="339" t="str">
        <f t="shared" si="163"/>
        <v>[0,048]</v>
      </c>
    </row>
    <row r="582" spans="2:21" hidden="1">
      <c r="D582" s="228" t="str">
        <f t="shared" si="177"/>
        <v>5.6 Schaumglas (CG)</v>
      </c>
      <c r="F582" s="1121">
        <f t="shared" si="179"/>
        <v>4.8000000000000008E-2</v>
      </c>
      <c r="G582" s="216">
        <f t="shared" si="180"/>
        <v>4.9000000000000009E-2</v>
      </c>
      <c r="H582" s="1115"/>
      <c r="K582" s="1073"/>
      <c r="P582" s="324" t="str">
        <f t="shared" si="178"/>
        <v>5.6 Schaumglas (CG) [0,049]</v>
      </c>
      <c r="Q582" s="324"/>
      <c r="R582" s="338">
        <f t="shared" si="162"/>
        <v>4.9000000000000009E-2</v>
      </c>
      <c r="S582" s="330" t="str">
        <f t="shared" si="176"/>
        <v>5.6 Schaumglas (CG)</v>
      </c>
      <c r="T582" s="339"/>
      <c r="U582" s="339" t="str">
        <f t="shared" si="163"/>
        <v>[0,049]</v>
      </c>
    </row>
    <row r="583" spans="2:21" hidden="1">
      <c r="D583" s="228" t="str">
        <f t="shared" si="177"/>
        <v>5.6 Schaumglas (CG)</v>
      </c>
      <c r="F583" s="1121">
        <f t="shared" si="179"/>
        <v>4.9000000000000009E-2</v>
      </c>
      <c r="G583" s="213">
        <f t="shared" si="180"/>
        <v>5.000000000000001E-2</v>
      </c>
      <c r="H583" s="1115"/>
      <c r="K583" s="1073"/>
      <c r="P583" s="324" t="str">
        <f t="shared" si="178"/>
        <v>5.6 Schaumglas (CG) [0,05]</v>
      </c>
      <c r="Q583" s="324"/>
      <c r="R583" s="338">
        <f t="shared" si="162"/>
        <v>5.000000000000001E-2</v>
      </c>
      <c r="S583" s="330" t="str">
        <f t="shared" si="176"/>
        <v>5.6 Schaumglas (CG)</v>
      </c>
      <c r="T583" s="339"/>
      <c r="U583" s="339" t="str">
        <f t="shared" si="163"/>
        <v>[0,05]</v>
      </c>
    </row>
    <row r="584" spans="2:21" hidden="1">
      <c r="D584" s="228" t="str">
        <f t="shared" si="177"/>
        <v>5.6 Schaumglas (CG)</v>
      </c>
      <c r="F584" s="1121">
        <f t="shared" si="179"/>
        <v>5.000000000000001E-2</v>
      </c>
      <c r="G584" s="213">
        <v>5.1999999999999998E-2</v>
      </c>
      <c r="H584" s="1115"/>
      <c r="K584" s="1073"/>
      <c r="P584" s="324" t="str">
        <f t="shared" si="178"/>
        <v>5.6 Schaumglas (CG) [0,052]</v>
      </c>
      <c r="Q584" s="324"/>
      <c r="R584" s="338">
        <f t="shared" si="162"/>
        <v>5.1999999999999998E-2</v>
      </c>
      <c r="S584" s="330" t="str">
        <f t="shared" si="176"/>
        <v>5.6 Schaumglas (CG)</v>
      </c>
      <c r="T584" s="339"/>
      <c r="U584" s="339" t="str">
        <f t="shared" si="163"/>
        <v>[0,052]</v>
      </c>
    </row>
    <row r="585" spans="2:21" hidden="1">
      <c r="D585" s="228" t="str">
        <f t="shared" si="177"/>
        <v>5.6 Schaumglas (CG)</v>
      </c>
      <c r="F585" s="1121">
        <f t="shared" si="179"/>
        <v>5.1000000000000011E-2</v>
      </c>
      <c r="G585" s="216">
        <f t="shared" si="180"/>
        <v>5.2999999999999999E-2</v>
      </c>
      <c r="H585" s="1115"/>
      <c r="K585" s="1073"/>
      <c r="P585" s="324" t="str">
        <f t="shared" si="178"/>
        <v>5.6 Schaumglas (CG) [0,053]</v>
      </c>
      <c r="Q585" s="324"/>
      <c r="R585" s="338">
        <f t="shared" si="162"/>
        <v>5.2999999999999999E-2</v>
      </c>
      <c r="S585" s="330" t="str">
        <f t="shared" si="176"/>
        <v>5.6 Schaumglas (CG)</v>
      </c>
      <c r="T585" s="339"/>
      <c r="U585" s="339" t="str">
        <f t="shared" si="163"/>
        <v>[0,053]</v>
      </c>
    </row>
    <row r="586" spans="2:21" hidden="1">
      <c r="D586" s="228" t="str">
        <f t="shared" si="177"/>
        <v>5.6 Schaumglas (CG)</v>
      </c>
      <c r="F586" s="1121">
        <f t="shared" si="179"/>
        <v>5.2000000000000011E-2</v>
      </c>
      <c r="G586" s="216">
        <f t="shared" si="180"/>
        <v>5.3999999999999999E-2</v>
      </c>
      <c r="H586" s="1115"/>
      <c r="K586" s="1073"/>
      <c r="P586" s="324" t="str">
        <f t="shared" si="178"/>
        <v>5.6 Schaumglas (CG) [0,054]</v>
      </c>
      <c r="Q586" s="324"/>
      <c r="R586" s="338">
        <f t="shared" si="162"/>
        <v>5.3999999999999999E-2</v>
      </c>
      <c r="S586" s="330" t="str">
        <f t="shared" si="176"/>
        <v>5.6 Schaumglas (CG)</v>
      </c>
      <c r="T586" s="339"/>
      <c r="U586" s="339" t="str">
        <f t="shared" si="163"/>
        <v>[0,054]</v>
      </c>
    </row>
    <row r="587" spans="2:21" hidden="1">
      <c r="D587" s="228" t="str">
        <f t="shared" si="177"/>
        <v>5.6 Schaumglas (CG)</v>
      </c>
      <c r="F587" s="1121">
        <f t="shared" si="179"/>
        <v>5.3000000000000012E-2</v>
      </c>
      <c r="G587" s="216">
        <f t="shared" si="180"/>
        <v>5.5E-2</v>
      </c>
      <c r="H587" s="1115"/>
      <c r="K587" s="1073"/>
      <c r="P587" s="324" t="str">
        <f t="shared" si="178"/>
        <v>5.6 Schaumglas (CG) [0,055]</v>
      </c>
      <c r="Q587" s="324"/>
      <c r="R587" s="338">
        <f t="shared" si="162"/>
        <v>5.5E-2</v>
      </c>
      <c r="S587" s="330" t="str">
        <f t="shared" si="176"/>
        <v>5.6 Schaumglas (CG)</v>
      </c>
      <c r="T587" s="339"/>
      <c r="U587" s="339" t="str">
        <f t="shared" si="163"/>
        <v>[0,055]</v>
      </c>
    </row>
    <row r="588" spans="2:21" hidden="1">
      <c r="D588" s="228" t="str">
        <f t="shared" si="177"/>
        <v>5.6 Schaumglas (CG)</v>
      </c>
      <c r="F588" s="1121">
        <f t="shared" si="179"/>
        <v>5.4000000000000013E-2</v>
      </c>
      <c r="G588" s="216">
        <f t="shared" si="180"/>
        <v>5.6000000000000001E-2</v>
      </c>
      <c r="H588" s="1115"/>
      <c r="K588" s="1073"/>
      <c r="O588" s="324" t="str">
        <f t="shared" ref="O588:O596" si="181">IF(AND(B588&gt;0,B588,LEFT(B588,1)&lt;&gt;" "),B588,"")</f>
        <v/>
      </c>
      <c r="P588" s="324" t="str">
        <f t="shared" si="178"/>
        <v>5.6 Schaumglas (CG) [0,056]</v>
      </c>
      <c r="Q588" s="324"/>
      <c r="R588" s="338">
        <f t="shared" si="162"/>
        <v>5.6000000000000001E-2</v>
      </c>
      <c r="S588" s="330" t="str">
        <f t="shared" si="176"/>
        <v>5.6 Schaumglas (CG)</v>
      </c>
      <c r="T588" s="339"/>
      <c r="U588" s="339" t="str">
        <f t="shared" si="163"/>
        <v>[0,056]</v>
      </c>
    </row>
    <row r="589" spans="2:21" hidden="1">
      <c r="D589" s="228" t="str">
        <f t="shared" si="177"/>
        <v>5.6 Schaumglas (CG)</v>
      </c>
      <c r="F589" s="1121">
        <f t="shared" si="179"/>
        <v>5.5000000000000014E-2</v>
      </c>
      <c r="G589" s="213">
        <v>5.7000000000000002E-2</v>
      </c>
      <c r="H589" s="1115"/>
      <c r="K589" s="1073"/>
      <c r="P589" s="324" t="str">
        <f t="shared" ref="P589" si="182">S589&amp;IF(T589&lt;&gt;""," "&amp;T589,"")&amp;IF(U589&lt;&gt;""," "&amp;U589,"")&amp;IF(V589&lt;&gt;""," "&amp;V589,"")</f>
        <v>5.6 Schaumglas (CG) [0,057]</v>
      </c>
      <c r="Q589" s="324"/>
      <c r="R589" s="338">
        <f t="shared" ref="R589" si="183">G589</f>
        <v>5.7000000000000002E-2</v>
      </c>
      <c r="S589" s="330" t="str">
        <f t="shared" ref="S589" si="184">D589</f>
        <v>5.6 Schaumglas (CG)</v>
      </c>
      <c r="T589" s="339"/>
      <c r="U589" s="339" t="str">
        <f t="shared" ref="U589" si="185">IF(G589&gt;0,"["&amp;G589&amp;"]","")</f>
        <v>[0,057]</v>
      </c>
    </row>
    <row r="590" spans="2:21" hidden="1">
      <c r="B590" s="213" t="s">
        <v>3332</v>
      </c>
      <c r="D590" s="213" t="s">
        <v>1851</v>
      </c>
      <c r="F590" s="1121">
        <v>0.06</v>
      </c>
      <c r="G590" s="213">
        <v>6.3E-2</v>
      </c>
      <c r="H590" s="1122" t="s">
        <v>1475</v>
      </c>
      <c r="I590" s="213" t="s">
        <v>803</v>
      </c>
      <c r="K590" s="1073"/>
      <c r="O590" s="324" t="str">
        <f t="shared" si="181"/>
        <v>5.7 Holzwolle-Platten</v>
      </c>
      <c r="P590" s="324" t="str">
        <f t="shared" ref="P590:P596" si="186">S590&amp;IF(T590&lt;&gt;""," "&amp;T590,"")&amp;IF(U590&lt;&gt;""," "&amp;U590,"")&amp;IF(V590&lt;&gt;""," "&amp;V590,"")</f>
        <v>5.7.1 Holzwolle-Platten (WW) [0,063]</v>
      </c>
      <c r="Q590" s="324"/>
      <c r="R590" s="338">
        <f t="shared" si="162"/>
        <v>6.3E-2</v>
      </c>
      <c r="S590" s="330" t="str">
        <f t="shared" si="176"/>
        <v>5.7.1 Holzwolle-Platten (WW)</v>
      </c>
      <c r="T590" s="339"/>
      <c r="U590" s="339" t="str">
        <f t="shared" si="163"/>
        <v>[0,063]</v>
      </c>
    </row>
    <row r="591" spans="2:21" ht="12" hidden="1" customHeight="1">
      <c r="B591" s="1353" t="s">
        <v>1667</v>
      </c>
      <c r="C591" s="1353"/>
      <c r="D591" s="228" t="str">
        <f t="shared" ref="D591:D630" si="187">D590</f>
        <v>5.7.1 Holzwolle-Platten (WW)</v>
      </c>
      <c r="F591" s="1121">
        <v>6.0999999999999999E-2</v>
      </c>
      <c r="G591" s="213">
        <f t="shared" ref="G591:G596" si="188">G590+0.001</f>
        <v>6.4000000000000001E-2</v>
      </c>
      <c r="H591" s="1115" t="str">
        <f t="shared" si="165"/>
        <v>2/5</v>
      </c>
      <c r="K591" s="1073"/>
      <c r="O591" s="324" t="str">
        <f t="shared" si="181"/>
        <v/>
      </c>
      <c r="P591" s="324" t="str">
        <f t="shared" si="186"/>
        <v>5.7.1 Holzwolle-Platten (WW) [0,064]</v>
      </c>
      <c r="Q591" s="324"/>
      <c r="R591" s="338">
        <f t="shared" si="162"/>
        <v>6.4000000000000001E-2</v>
      </c>
      <c r="S591" s="330" t="str">
        <f t="shared" si="176"/>
        <v>5.7.1 Holzwolle-Platten (WW)</v>
      </c>
      <c r="T591" s="339"/>
      <c r="U591" s="339" t="str">
        <f t="shared" si="163"/>
        <v>[0,064]</v>
      </c>
    </row>
    <row r="592" spans="2:21" hidden="1">
      <c r="B592" s="1353"/>
      <c r="C592" s="1353"/>
      <c r="D592" s="228" t="str">
        <f t="shared" si="187"/>
        <v>5.7.1 Holzwolle-Platten (WW)</v>
      </c>
      <c r="F592" s="1121">
        <f>F591+0.001</f>
        <v>6.2E-2</v>
      </c>
      <c r="G592" s="216">
        <f t="shared" si="188"/>
        <v>6.5000000000000002E-2</v>
      </c>
      <c r="H592" s="1115" t="str">
        <f t="shared" si="165"/>
        <v>2/5</v>
      </c>
      <c r="K592" s="1073"/>
      <c r="O592" s="324" t="str">
        <f t="shared" si="181"/>
        <v/>
      </c>
      <c r="P592" s="324" t="str">
        <f t="shared" si="186"/>
        <v>5.7.1 Holzwolle-Platten (WW) [0,065]</v>
      </c>
      <c r="Q592" s="324"/>
      <c r="R592" s="338">
        <f t="shared" si="162"/>
        <v>6.5000000000000002E-2</v>
      </c>
      <c r="S592" s="330" t="str">
        <f t="shared" si="176"/>
        <v>5.7.1 Holzwolle-Platten (WW)</v>
      </c>
      <c r="T592" s="339"/>
      <c r="U592" s="339" t="str">
        <f t="shared" si="163"/>
        <v>[0,065]</v>
      </c>
    </row>
    <row r="593" spans="2:21" hidden="1">
      <c r="B593" s="1353"/>
      <c r="C593" s="1353"/>
      <c r="D593" s="228" t="str">
        <f t="shared" si="187"/>
        <v>5.7.1 Holzwolle-Platten (WW)</v>
      </c>
      <c r="F593" s="1121">
        <f t="shared" ref="F593:F630" si="189">F592+0.001</f>
        <v>6.3E-2</v>
      </c>
      <c r="G593" s="216">
        <f t="shared" si="188"/>
        <v>6.6000000000000003E-2</v>
      </c>
      <c r="H593" s="1115" t="str">
        <f t="shared" si="165"/>
        <v>2/5</v>
      </c>
      <c r="K593" s="1073"/>
      <c r="O593" s="324" t="str">
        <f t="shared" si="181"/>
        <v/>
      </c>
      <c r="P593" s="324" t="str">
        <f t="shared" si="186"/>
        <v>5.7.1 Holzwolle-Platten (WW) [0,066]</v>
      </c>
      <c r="Q593" s="324"/>
      <c r="R593" s="338">
        <f t="shared" si="162"/>
        <v>6.6000000000000003E-2</v>
      </c>
      <c r="S593" s="330" t="str">
        <f t="shared" si="176"/>
        <v>5.7.1 Holzwolle-Platten (WW)</v>
      </c>
      <c r="T593" s="339"/>
      <c r="U593" s="339" t="str">
        <f t="shared" si="163"/>
        <v>[0,066]</v>
      </c>
    </row>
    <row r="594" spans="2:21" hidden="1">
      <c r="B594" s="1353"/>
      <c r="C594" s="1353"/>
      <c r="D594" s="228" t="str">
        <f t="shared" si="187"/>
        <v>5.7.1 Holzwolle-Platten (WW)</v>
      </c>
      <c r="F594" s="1121">
        <f t="shared" si="189"/>
        <v>6.4000000000000001E-2</v>
      </c>
      <c r="G594" s="216">
        <f t="shared" si="188"/>
        <v>6.7000000000000004E-2</v>
      </c>
      <c r="H594" s="1115" t="str">
        <f t="shared" si="165"/>
        <v>2/5</v>
      </c>
      <c r="K594" s="1073"/>
      <c r="O594" s="324" t="str">
        <f t="shared" si="181"/>
        <v/>
      </c>
      <c r="P594" s="324" t="str">
        <f t="shared" si="186"/>
        <v>5.7.1 Holzwolle-Platten (WW) [0,067]</v>
      </c>
      <c r="Q594" s="324"/>
      <c r="R594" s="338">
        <f t="shared" si="162"/>
        <v>6.7000000000000004E-2</v>
      </c>
      <c r="S594" s="330" t="str">
        <f t="shared" si="176"/>
        <v>5.7.1 Holzwolle-Platten (WW)</v>
      </c>
      <c r="T594" s="339"/>
      <c r="U594" s="339" t="str">
        <f t="shared" si="163"/>
        <v>[0,067]</v>
      </c>
    </row>
    <row r="595" spans="2:21" hidden="1">
      <c r="D595" s="228" t="str">
        <f t="shared" si="187"/>
        <v>5.7.1 Holzwolle-Platten (WW)</v>
      </c>
      <c r="F595" s="1121">
        <f t="shared" si="189"/>
        <v>6.5000000000000002E-2</v>
      </c>
      <c r="G595" s="216">
        <f t="shared" si="188"/>
        <v>6.8000000000000005E-2</v>
      </c>
      <c r="H595" s="1115" t="str">
        <f t="shared" si="165"/>
        <v>2/5</v>
      </c>
      <c r="K595" s="1073"/>
      <c r="O595" s="324" t="str">
        <f t="shared" si="181"/>
        <v/>
      </c>
      <c r="P595" s="324" t="str">
        <f t="shared" si="186"/>
        <v>5.7.1 Holzwolle-Platten (WW) [0,068]</v>
      </c>
      <c r="Q595" s="324"/>
      <c r="R595" s="338">
        <f t="shared" si="162"/>
        <v>6.8000000000000005E-2</v>
      </c>
      <c r="S595" s="330" t="str">
        <f t="shared" si="176"/>
        <v>5.7.1 Holzwolle-Platten (WW)</v>
      </c>
      <c r="T595" s="339"/>
      <c r="U595" s="339" t="str">
        <f t="shared" si="163"/>
        <v>[0,068]</v>
      </c>
    </row>
    <row r="596" spans="2:21" hidden="1">
      <c r="D596" s="228" t="str">
        <f t="shared" si="187"/>
        <v>5.7.1 Holzwolle-Platten (WW)</v>
      </c>
      <c r="F596" s="1121">
        <f t="shared" si="189"/>
        <v>6.6000000000000003E-2</v>
      </c>
      <c r="G596" s="216">
        <f t="shared" si="188"/>
        <v>6.9000000000000006E-2</v>
      </c>
      <c r="H596" s="1115" t="str">
        <f t="shared" si="165"/>
        <v>2/5</v>
      </c>
      <c r="K596" s="1073"/>
      <c r="O596" s="324" t="str">
        <f t="shared" si="181"/>
        <v/>
      </c>
      <c r="P596" s="324" t="str">
        <f t="shared" si="186"/>
        <v>5.7.1 Holzwolle-Platten (WW) [0,069]</v>
      </c>
      <c r="Q596" s="324"/>
      <c r="R596" s="338">
        <f t="shared" ref="R596:R659" si="190">G596</f>
        <v>6.9000000000000006E-2</v>
      </c>
      <c r="S596" s="330" t="str">
        <f t="shared" si="176"/>
        <v>5.7.1 Holzwolle-Platten (WW)</v>
      </c>
      <c r="T596" s="339"/>
      <c r="U596" s="339" t="str">
        <f t="shared" ref="U596:U659" si="191">IF(G596&gt;0,"["&amp;G596&amp;"]","")</f>
        <v>[0,069]</v>
      </c>
    </row>
    <row r="597" spans="2:21" hidden="1">
      <c r="D597" s="228" t="str">
        <f t="shared" si="187"/>
        <v>5.7.1 Holzwolle-Platten (WW)</v>
      </c>
      <c r="F597" s="1121">
        <f t="shared" si="189"/>
        <v>6.7000000000000004E-2</v>
      </c>
      <c r="G597" s="216">
        <f t="shared" ref="G597:G630" si="192">G596+0.001</f>
        <v>7.0000000000000007E-2</v>
      </c>
      <c r="H597" s="1115" t="str">
        <f t="shared" si="165"/>
        <v>2/5</v>
      </c>
      <c r="K597" s="1073"/>
      <c r="P597" s="324" t="str">
        <f t="shared" ref="P597:P630" si="193">S597&amp;IF(T597&lt;&gt;""," "&amp;T597,"")&amp;IF(U597&lt;&gt;""," "&amp;U597,"")&amp;IF(V597&lt;&gt;""," "&amp;V597,"")</f>
        <v>5.7.1 Holzwolle-Platten (WW) [0,07]</v>
      </c>
      <c r="Q597" s="324"/>
      <c r="R597" s="338">
        <f t="shared" si="190"/>
        <v>7.0000000000000007E-2</v>
      </c>
      <c r="S597" s="330" t="str">
        <f t="shared" si="176"/>
        <v>5.7.1 Holzwolle-Platten (WW)</v>
      </c>
      <c r="T597" s="339"/>
      <c r="U597" s="339" t="str">
        <f t="shared" si="191"/>
        <v>[0,07]</v>
      </c>
    </row>
    <row r="598" spans="2:21" hidden="1">
      <c r="D598" s="228" t="str">
        <f t="shared" si="187"/>
        <v>5.7.1 Holzwolle-Platten (WW)</v>
      </c>
      <c r="F598" s="1121">
        <f t="shared" si="189"/>
        <v>6.8000000000000005E-2</v>
      </c>
      <c r="G598" s="216">
        <f t="shared" si="192"/>
        <v>7.1000000000000008E-2</v>
      </c>
      <c r="H598" s="1115" t="str">
        <f t="shared" ref="H598:H661" si="194">H597</f>
        <v>2/5</v>
      </c>
      <c r="K598" s="1073"/>
      <c r="P598" s="324" t="str">
        <f t="shared" si="193"/>
        <v>5.7.1 Holzwolle-Platten (WW) [0,071]</v>
      </c>
      <c r="Q598" s="324"/>
      <c r="R598" s="338">
        <f t="shared" si="190"/>
        <v>7.1000000000000008E-2</v>
      </c>
      <c r="S598" s="330" t="str">
        <f t="shared" si="176"/>
        <v>5.7.1 Holzwolle-Platten (WW)</v>
      </c>
      <c r="T598" s="339"/>
      <c r="U598" s="339" t="str">
        <f t="shared" si="191"/>
        <v>[0,071]</v>
      </c>
    </row>
    <row r="599" spans="2:21" hidden="1">
      <c r="D599" s="228" t="str">
        <f t="shared" si="187"/>
        <v>5.7.1 Holzwolle-Platten (WW)</v>
      </c>
      <c r="F599" s="1121">
        <f t="shared" si="189"/>
        <v>6.9000000000000006E-2</v>
      </c>
      <c r="G599" s="213">
        <f t="shared" si="192"/>
        <v>7.2000000000000008E-2</v>
      </c>
      <c r="H599" s="1115" t="str">
        <f t="shared" si="194"/>
        <v>2/5</v>
      </c>
      <c r="K599" s="1073"/>
      <c r="P599" s="324" t="str">
        <f t="shared" si="193"/>
        <v>5.7.1 Holzwolle-Platten (WW) [0,072]</v>
      </c>
      <c r="Q599" s="324"/>
      <c r="R599" s="338">
        <f t="shared" si="190"/>
        <v>7.2000000000000008E-2</v>
      </c>
      <c r="S599" s="330" t="str">
        <f t="shared" si="176"/>
        <v>5.7.1 Holzwolle-Platten (WW)</v>
      </c>
      <c r="T599" s="339"/>
      <c r="U599" s="339" t="str">
        <f t="shared" si="191"/>
        <v>[0,072]</v>
      </c>
    </row>
    <row r="600" spans="2:21" hidden="1">
      <c r="D600" s="228" t="str">
        <f t="shared" si="187"/>
        <v>5.7.1 Holzwolle-Platten (WW)</v>
      </c>
      <c r="F600" s="1121">
        <f t="shared" si="189"/>
        <v>7.0000000000000007E-2</v>
      </c>
      <c r="G600" s="213">
        <v>7.3999999999999996E-2</v>
      </c>
      <c r="H600" s="1115" t="str">
        <f t="shared" si="194"/>
        <v>2/5</v>
      </c>
      <c r="K600" s="1073"/>
      <c r="P600" s="324" t="str">
        <f t="shared" si="193"/>
        <v>5.7.1 Holzwolle-Platten (WW) [0,074]</v>
      </c>
      <c r="Q600" s="324"/>
      <c r="R600" s="338">
        <f t="shared" si="190"/>
        <v>7.3999999999999996E-2</v>
      </c>
      <c r="S600" s="330" t="str">
        <f t="shared" si="176"/>
        <v>5.7.1 Holzwolle-Platten (WW)</v>
      </c>
      <c r="T600" s="339"/>
      <c r="U600" s="339" t="str">
        <f t="shared" si="191"/>
        <v>[0,074]</v>
      </c>
    </row>
    <row r="601" spans="2:21" hidden="1">
      <c r="D601" s="228" t="str">
        <f t="shared" si="187"/>
        <v>5.7.1 Holzwolle-Platten (WW)</v>
      </c>
      <c r="F601" s="1121">
        <f t="shared" si="189"/>
        <v>7.1000000000000008E-2</v>
      </c>
      <c r="G601" s="216">
        <f t="shared" si="192"/>
        <v>7.4999999999999997E-2</v>
      </c>
      <c r="H601" s="1115" t="str">
        <f t="shared" si="194"/>
        <v>2/5</v>
      </c>
      <c r="K601" s="1073"/>
      <c r="P601" s="324" t="str">
        <f t="shared" si="193"/>
        <v>5.7.1 Holzwolle-Platten (WW) [0,075]</v>
      </c>
      <c r="Q601" s="324"/>
      <c r="R601" s="338">
        <f t="shared" si="190"/>
        <v>7.4999999999999997E-2</v>
      </c>
      <c r="S601" s="330" t="str">
        <f t="shared" si="176"/>
        <v>5.7.1 Holzwolle-Platten (WW)</v>
      </c>
      <c r="T601" s="339"/>
      <c r="U601" s="339" t="str">
        <f t="shared" si="191"/>
        <v>[0,075]</v>
      </c>
    </row>
    <row r="602" spans="2:21" hidden="1">
      <c r="D602" s="228" t="str">
        <f t="shared" si="187"/>
        <v>5.7.1 Holzwolle-Platten (WW)</v>
      </c>
      <c r="F602" s="1121">
        <f t="shared" si="189"/>
        <v>7.2000000000000008E-2</v>
      </c>
      <c r="G602" s="216">
        <f t="shared" si="192"/>
        <v>7.5999999999999998E-2</v>
      </c>
      <c r="H602" s="1115" t="str">
        <f t="shared" si="194"/>
        <v>2/5</v>
      </c>
      <c r="K602" s="1073"/>
      <c r="P602" s="324" t="str">
        <f t="shared" si="193"/>
        <v>5.7.1 Holzwolle-Platten (WW) [0,076]</v>
      </c>
      <c r="Q602" s="324"/>
      <c r="R602" s="338">
        <f t="shared" si="190"/>
        <v>7.5999999999999998E-2</v>
      </c>
      <c r="S602" s="330" t="str">
        <f t="shared" si="176"/>
        <v>5.7.1 Holzwolle-Platten (WW)</v>
      </c>
      <c r="T602" s="339"/>
      <c r="U602" s="339" t="str">
        <f t="shared" si="191"/>
        <v>[0,076]</v>
      </c>
    </row>
    <row r="603" spans="2:21" hidden="1">
      <c r="D603" s="228" t="str">
        <f t="shared" si="187"/>
        <v>5.7.1 Holzwolle-Platten (WW)</v>
      </c>
      <c r="F603" s="1121">
        <f t="shared" si="189"/>
        <v>7.3000000000000009E-2</v>
      </c>
      <c r="G603" s="216">
        <f t="shared" si="192"/>
        <v>7.6999999999999999E-2</v>
      </c>
      <c r="H603" s="1115" t="str">
        <f t="shared" si="194"/>
        <v>2/5</v>
      </c>
      <c r="K603" s="1073"/>
      <c r="P603" s="324" t="str">
        <f t="shared" si="193"/>
        <v>5.7.1 Holzwolle-Platten (WW) [0,077]</v>
      </c>
      <c r="Q603" s="324"/>
      <c r="R603" s="338">
        <f t="shared" si="190"/>
        <v>7.6999999999999999E-2</v>
      </c>
      <c r="S603" s="330" t="str">
        <f t="shared" si="176"/>
        <v>5.7.1 Holzwolle-Platten (WW)</v>
      </c>
      <c r="T603" s="339"/>
      <c r="U603" s="339" t="str">
        <f t="shared" si="191"/>
        <v>[0,077]</v>
      </c>
    </row>
    <row r="604" spans="2:21" hidden="1">
      <c r="D604" s="228" t="str">
        <f t="shared" si="187"/>
        <v>5.7.1 Holzwolle-Platten (WW)</v>
      </c>
      <c r="F604" s="1121">
        <f t="shared" si="189"/>
        <v>7.400000000000001E-2</v>
      </c>
      <c r="G604" s="216">
        <f t="shared" si="192"/>
        <v>7.8E-2</v>
      </c>
      <c r="H604" s="1115" t="str">
        <f t="shared" si="194"/>
        <v>2/5</v>
      </c>
      <c r="K604" s="1073"/>
      <c r="P604" s="324" t="str">
        <f t="shared" si="193"/>
        <v>5.7.1 Holzwolle-Platten (WW) [0,078]</v>
      </c>
      <c r="Q604" s="324"/>
      <c r="R604" s="338">
        <f t="shared" si="190"/>
        <v>7.8E-2</v>
      </c>
      <c r="S604" s="330" t="str">
        <f t="shared" ref="S604:S630" si="195">D604</f>
        <v>5.7.1 Holzwolle-Platten (WW)</v>
      </c>
      <c r="T604" s="339"/>
      <c r="U604" s="339" t="str">
        <f t="shared" si="191"/>
        <v>[0,078]</v>
      </c>
    </row>
    <row r="605" spans="2:21" hidden="1">
      <c r="D605" s="228" t="str">
        <f t="shared" si="187"/>
        <v>5.7.1 Holzwolle-Platten (WW)</v>
      </c>
      <c r="F605" s="1121">
        <f t="shared" si="189"/>
        <v>7.5000000000000011E-2</v>
      </c>
      <c r="G605" s="216">
        <f t="shared" si="192"/>
        <v>7.9000000000000001E-2</v>
      </c>
      <c r="H605" s="1115" t="str">
        <f t="shared" si="194"/>
        <v>2/5</v>
      </c>
      <c r="K605" s="1073"/>
      <c r="P605" s="324" t="str">
        <f t="shared" si="193"/>
        <v>5.7.1 Holzwolle-Platten (WW) [0,079]</v>
      </c>
      <c r="Q605" s="324"/>
      <c r="R605" s="338">
        <f t="shared" si="190"/>
        <v>7.9000000000000001E-2</v>
      </c>
      <c r="S605" s="330" t="str">
        <f t="shared" si="195"/>
        <v>5.7.1 Holzwolle-Platten (WW)</v>
      </c>
      <c r="T605" s="339"/>
      <c r="U605" s="339" t="str">
        <f t="shared" si="191"/>
        <v>[0,079]</v>
      </c>
    </row>
    <row r="606" spans="2:21" hidden="1">
      <c r="D606" s="228" t="str">
        <f t="shared" si="187"/>
        <v>5.7.1 Holzwolle-Platten (WW)</v>
      </c>
      <c r="F606" s="1121">
        <f t="shared" si="189"/>
        <v>7.6000000000000012E-2</v>
      </c>
      <c r="G606" s="216">
        <f t="shared" si="192"/>
        <v>0.08</v>
      </c>
      <c r="H606" s="1115" t="str">
        <f t="shared" si="194"/>
        <v>2/5</v>
      </c>
      <c r="K606" s="1073"/>
      <c r="P606" s="324" t="str">
        <f t="shared" si="193"/>
        <v>5.7.1 Holzwolle-Platten (WW) [0,08]</v>
      </c>
      <c r="Q606" s="324"/>
      <c r="R606" s="338">
        <f t="shared" si="190"/>
        <v>0.08</v>
      </c>
      <c r="S606" s="330" t="str">
        <f t="shared" si="195"/>
        <v>5.7.1 Holzwolle-Platten (WW)</v>
      </c>
      <c r="T606" s="339"/>
      <c r="U606" s="339" t="str">
        <f t="shared" si="191"/>
        <v>[0,08]</v>
      </c>
    </row>
    <row r="607" spans="2:21" hidden="1">
      <c r="D607" s="228" t="str">
        <f t="shared" si="187"/>
        <v>5.7.1 Holzwolle-Platten (WW)</v>
      </c>
      <c r="F607" s="1121">
        <f t="shared" si="189"/>
        <v>7.7000000000000013E-2</v>
      </c>
      <c r="G607" s="216">
        <f t="shared" si="192"/>
        <v>8.1000000000000003E-2</v>
      </c>
      <c r="H607" s="1115" t="str">
        <f t="shared" si="194"/>
        <v>2/5</v>
      </c>
      <c r="K607" s="1073"/>
      <c r="P607" s="324" t="str">
        <f t="shared" si="193"/>
        <v>5.7.1 Holzwolle-Platten (WW) [0,081]</v>
      </c>
      <c r="Q607" s="324"/>
      <c r="R607" s="338">
        <f t="shared" si="190"/>
        <v>8.1000000000000003E-2</v>
      </c>
      <c r="S607" s="330" t="str">
        <f t="shared" si="195"/>
        <v>5.7.1 Holzwolle-Platten (WW)</v>
      </c>
      <c r="T607" s="339"/>
      <c r="U607" s="339" t="str">
        <f t="shared" si="191"/>
        <v>[0,081]</v>
      </c>
    </row>
    <row r="608" spans="2:21" hidden="1">
      <c r="D608" s="228" t="str">
        <f t="shared" si="187"/>
        <v>5.7.1 Holzwolle-Platten (WW)</v>
      </c>
      <c r="F608" s="1121">
        <f t="shared" si="189"/>
        <v>7.8000000000000014E-2</v>
      </c>
      <c r="G608" s="216">
        <f t="shared" si="192"/>
        <v>8.2000000000000003E-2</v>
      </c>
      <c r="H608" s="1115" t="str">
        <f t="shared" si="194"/>
        <v>2/5</v>
      </c>
      <c r="K608" s="1073"/>
      <c r="P608" s="324" t="str">
        <f t="shared" si="193"/>
        <v>5.7.1 Holzwolle-Platten (WW) [0,082]</v>
      </c>
      <c r="Q608" s="324"/>
      <c r="R608" s="338">
        <f t="shared" si="190"/>
        <v>8.2000000000000003E-2</v>
      </c>
      <c r="S608" s="330" t="str">
        <f t="shared" si="195"/>
        <v>5.7.1 Holzwolle-Platten (WW)</v>
      </c>
      <c r="T608" s="339"/>
      <c r="U608" s="339" t="str">
        <f t="shared" si="191"/>
        <v>[0,082]</v>
      </c>
    </row>
    <row r="609" spans="4:21" hidden="1">
      <c r="D609" s="228" t="str">
        <f t="shared" si="187"/>
        <v>5.7.1 Holzwolle-Platten (WW)</v>
      </c>
      <c r="F609" s="1121">
        <f t="shared" si="189"/>
        <v>7.9000000000000015E-2</v>
      </c>
      <c r="G609" s="216">
        <f t="shared" si="192"/>
        <v>8.3000000000000004E-2</v>
      </c>
      <c r="H609" s="1115" t="str">
        <f t="shared" si="194"/>
        <v>2/5</v>
      </c>
      <c r="K609" s="1073"/>
      <c r="P609" s="324" t="str">
        <f t="shared" si="193"/>
        <v>5.7.1 Holzwolle-Platten (WW) [0,083]</v>
      </c>
      <c r="Q609" s="324"/>
      <c r="R609" s="338">
        <f t="shared" si="190"/>
        <v>8.3000000000000004E-2</v>
      </c>
      <c r="S609" s="330" t="str">
        <f t="shared" si="195"/>
        <v>5.7.1 Holzwolle-Platten (WW)</v>
      </c>
      <c r="T609" s="339"/>
      <c r="U609" s="339" t="str">
        <f t="shared" si="191"/>
        <v>[0,083]</v>
      </c>
    </row>
    <row r="610" spans="4:21" hidden="1">
      <c r="D610" s="228" t="str">
        <f t="shared" si="187"/>
        <v>5.7.1 Holzwolle-Platten (WW)</v>
      </c>
      <c r="F610" s="1121">
        <f t="shared" si="189"/>
        <v>8.0000000000000016E-2</v>
      </c>
      <c r="G610" s="216">
        <f t="shared" si="192"/>
        <v>8.4000000000000005E-2</v>
      </c>
      <c r="H610" s="1115" t="str">
        <f t="shared" si="194"/>
        <v>2/5</v>
      </c>
      <c r="K610" s="1073"/>
      <c r="O610" s="324" t="str">
        <f>IF(AND(B610&gt;0,B610,LEFT(B610,1)&lt;&gt;" "),B610,"")</f>
        <v/>
      </c>
      <c r="P610" s="324" t="str">
        <f t="shared" si="193"/>
        <v>5.7.1 Holzwolle-Platten (WW) [0,084]</v>
      </c>
      <c r="Q610" s="324"/>
      <c r="R610" s="338">
        <f t="shared" si="190"/>
        <v>8.4000000000000005E-2</v>
      </c>
      <c r="S610" s="330" t="str">
        <f t="shared" si="195"/>
        <v>5.7.1 Holzwolle-Platten (WW)</v>
      </c>
      <c r="T610" s="339"/>
      <c r="U610" s="339" t="str">
        <f t="shared" si="191"/>
        <v>[0,084]</v>
      </c>
    </row>
    <row r="611" spans="4:21" hidden="1">
      <c r="D611" s="228" t="str">
        <f t="shared" si="187"/>
        <v>5.7.1 Holzwolle-Platten (WW)</v>
      </c>
      <c r="F611" s="1121">
        <f t="shared" si="189"/>
        <v>8.1000000000000016E-2</v>
      </c>
      <c r="G611" s="216">
        <f t="shared" si="192"/>
        <v>8.5000000000000006E-2</v>
      </c>
      <c r="H611" s="1115" t="str">
        <f t="shared" si="194"/>
        <v>2/5</v>
      </c>
      <c r="K611" s="1073"/>
      <c r="O611" s="324" t="str">
        <f>IF(AND(B611&gt;0,B611,LEFT(B611,1)&lt;&gt;" "),B611,"")</f>
        <v/>
      </c>
      <c r="P611" s="324" t="str">
        <f t="shared" si="193"/>
        <v>5.7.1 Holzwolle-Platten (WW) [0,085]</v>
      </c>
      <c r="Q611" s="324"/>
      <c r="R611" s="338">
        <f t="shared" si="190"/>
        <v>8.5000000000000006E-2</v>
      </c>
      <c r="S611" s="330" t="str">
        <f t="shared" si="195"/>
        <v>5.7.1 Holzwolle-Platten (WW)</v>
      </c>
      <c r="T611" s="339"/>
      <c r="U611" s="339" t="str">
        <f t="shared" si="191"/>
        <v>[0,085]</v>
      </c>
    </row>
    <row r="612" spans="4:21" hidden="1">
      <c r="D612" s="228" t="str">
        <f t="shared" si="187"/>
        <v>5.7.1 Holzwolle-Platten (WW)</v>
      </c>
      <c r="F612" s="1121">
        <f t="shared" si="189"/>
        <v>8.2000000000000017E-2</v>
      </c>
      <c r="G612" s="216">
        <f t="shared" si="192"/>
        <v>8.6000000000000007E-2</v>
      </c>
      <c r="H612" s="1115" t="str">
        <f t="shared" si="194"/>
        <v>2/5</v>
      </c>
      <c r="K612" s="1073"/>
      <c r="P612" s="324" t="str">
        <f t="shared" si="193"/>
        <v>5.7.1 Holzwolle-Platten (WW) [0,086]</v>
      </c>
      <c r="Q612" s="324"/>
      <c r="R612" s="338">
        <f t="shared" si="190"/>
        <v>8.6000000000000007E-2</v>
      </c>
      <c r="S612" s="330" t="str">
        <f t="shared" si="195"/>
        <v>5.7.1 Holzwolle-Platten (WW)</v>
      </c>
      <c r="T612" s="339"/>
      <c r="U612" s="339" t="str">
        <f t="shared" si="191"/>
        <v>[0,086]</v>
      </c>
    </row>
    <row r="613" spans="4:21" hidden="1">
      <c r="D613" s="228" t="str">
        <f t="shared" si="187"/>
        <v>5.7.1 Holzwolle-Platten (WW)</v>
      </c>
      <c r="F613" s="1121">
        <f t="shared" si="189"/>
        <v>8.3000000000000018E-2</v>
      </c>
      <c r="G613" s="216">
        <f t="shared" si="192"/>
        <v>8.7000000000000008E-2</v>
      </c>
      <c r="H613" s="1115" t="str">
        <f t="shared" si="194"/>
        <v>2/5</v>
      </c>
      <c r="K613" s="1073"/>
      <c r="P613" s="324" t="str">
        <f t="shared" si="193"/>
        <v>5.7.1 Holzwolle-Platten (WW) [0,087]</v>
      </c>
      <c r="Q613" s="324"/>
      <c r="R613" s="338">
        <f t="shared" si="190"/>
        <v>8.7000000000000008E-2</v>
      </c>
      <c r="S613" s="330" t="str">
        <f t="shared" si="195"/>
        <v>5.7.1 Holzwolle-Platten (WW)</v>
      </c>
      <c r="T613" s="339"/>
      <c r="U613" s="339" t="str">
        <f t="shared" si="191"/>
        <v>[0,087]</v>
      </c>
    </row>
    <row r="614" spans="4:21" hidden="1">
      <c r="D614" s="228" t="str">
        <f t="shared" si="187"/>
        <v>5.7.1 Holzwolle-Platten (WW)</v>
      </c>
      <c r="F614" s="1121">
        <f t="shared" si="189"/>
        <v>8.4000000000000019E-2</v>
      </c>
      <c r="G614" s="216">
        <f t="shared" si="192"/>
        <v>8.8000000000000009E-2</v>
      </c>
      <c r="H614" s="1115" t="str">
        <f t="shared" si="194"/>
        <v>2/5</v>
      </c>
      <c r="K614" s="1073"/>
      <c r="P614" s="324" t="str">
        <f t="shared" si="193"/>
        <v>5.7.1 Holzwolle-Platten (WW) [0,088]</v>
      </c>
      <c r="Q614" s="324"/>
      <c r="R614" s="338">
        <f t="shared" si="190"/>
        <v>8.8000000000000009E-2</v>
      </c>
      <c r="S614" s="330" t="str">
        <f t="shared" si="195"/>
        <v>5.7.1 Holzwolle-Platten (WW)</v>
      </c>
      <c r="T614" s="339"/>
      <c r="U614" s="339" t="str">
        <f t="shared" si="191"/>
        <v>[0,088]</v>
      </c>
    </row>
    <row r="615" spans="4:21" hidden="1">
      <c r="D615" s="228" t="str">
        <f t="shared" si="187"/>
        <v>5.7.1 Holzwolle-Platten (WW)</v>
      </c>
      <c r="F615" s="1121">
        <f t="shared" si="189"/>
        <v>8.500000000000002E-2</v>
      </c>
      <c r="G615" s="216">
        <f t="shared" si="192"/>
        <v>8.900000000000001E-2</v>
      </c>
      <c r="H615" s="1115" t="str">
        <f t="shared" si="194"/>
        <v>2/5</v>
      </c>
      <c r="K615" s="1073"/>
      <c r="P615" s="324" t="str">
        <f t="shared" si="193"/>
        <v>5.7.1 Holzwolle-Platten (WW) [0,089]</v>
      </c>
      <c r="Q615" s="324"/>
      <c r="R615" s="338">
        <f t="shared" si="190"/>
        <v>8.900000000000001E-2</v>
      </c>
      <c r="S615" s="330" t="str">
        <f t="shared" si="195"/>
        <v>5.7.1 Holzwolle-Platten (WW)</v>
      </c>
      <c r="T615" s="339"/>
      <c r="U615" s="339" t="str">
        <f t="shared" si="191"/>
        <v>[0,089]</v>
      </c>
    </row>
    <row r="616" spans="4:21" hidden="1">
      <c r="D616" s="228" t="str">
        <f t="shared" si="187"/>
        <v>5.7.1 Holzwolle-Platten (WW)</v>
      </c>
      <c r="F616" s="1121">
        <f t="shared" si="189"/>
        <v>8.6000000000000021E-2</v>
      </c>
      <c r="G616" s="216">
        <f t="shared" si="192"/>
        <v>9.0000000000000011E-2</v>
      </c>
      <c r="H616" s="1115" t="str">
        <f t="shared" si="194"/>
        <v>2/5</v>
      </c>
      <c r="K616" s="1073"/>
      <c r="P616" s="324" t="str">
        <f t="shared" si="193"/>
        <v>5.7.1 Holzwolle-Platten (WW) [0,09]</v>
      </c>
      <c r="Q616" s="324"/>
      <c r="R616" s="338">
        <f t="shared" si="190"/>
        <v>9.0000000000000011E-2</v>
      </c>
      <c r="S616" s="330" t="str">
        <f t="shared" si="195"/>
        <v>5.7.1 Holzwolle-Platten (WW)</v>
      </c>
      <c r="T616" s="339"/>
      <c r="U616" s="339" t="str">
        <f t="shared" si="191"/>
        <v>[0,09]</v>
      </c>
    </row>
    <row r="617" spans="4:21" hidden="1">
      <c r="D617" s="228" t="str">
        <f t="shared" si="187"/>
        <v>5.7.1 Holzwolle-Platten (WW)</v>
      </c>
      <c r="F617" s="1121">
        <f t="shared" si="189"/>
        <v>8.7000000000000022E-2</v>
      </c>
      <c r="G617" s="216">
        <f t="shared" si="192"/>
        <v>9.1000000000000011E-2</v>
      </c>
      <c r="H617" s="1115" t="str">
        <f t="shared" si="194"/>
        <v>2/5</v>
      </c>
      <c r="K617" s="1073"/>
      <c r="P617" s="324" t="str">
        <f t="shared" si="193"/>
        <v>5.7.1 Holzwolle-Platten (WW) [0,091]</v>
      </c>
      <c r="Q617" s="324"/>
      <c r="R617" s="338">
        <f t="shared" si="190"/>
        <v>9.1000000000000011E-2</v>
      </c>
      <c r="S617" s="330" t="str">
        <f t="shared" si="195"/>
        <v>5.7.1 Holzwolle-Platten (WW)</v>
      </c>
      <c r="T617" s="339"/>
      <c r="U617" s="339" t="str">
        <f t="shared" si="191"/>
        <v>[0,091]</v>
      </c>
    </row>
    <row r="618" spans="4:21" hidden="1">
      <c r="D618" s="228" t="str">
        <f t="shared" si="187"/>
        <v>5.7.1 Holzwolle-Platten (WW)</v>
      </c>
      <c r="F618" s="1121">
        <f t="shared" si="189"/>
        <v>8.8000000000000023E-2</v>
      </c>
      <c r="G618" s="216">
        <f t="shared" si="192"/>
        <v>9.2000000000000012E-2</v>
      </c>
      <c r="H618" s="1115" t="str">
        <f t="shared" si="194"/>
        <v>2/5</v>
      </c>
      <c r="K618" s="1073"/>
      <c r="P618" s="324" t="str">
        <f t="shared" si="193"/>
        <v>5.7.1 Holzwolle-Platten (WW) [0,092]</v>
      </c>
      <c r="Q618" s="324"/>
      <c r="R618" s="338">
        <f t="shared" si="190"/>
        <v>9.2000000000000012E-2</v>
      </c>
      <c r="S618" s="330" t="str">
        <f t="shared" si="195"/>
        <v>5.7.1 Holzwolle-Platten (WW)</v>
      </c>
      <c r="T618" s="339"/>
      <c r="U618" s="339" t="str">
        <f t="shared" si="191"/>
        <v>[0,092]</v>
      </c>
    </row>
    <row r="619" spans="4:21" hidden="1">
      <c r="D619" s="228" t="str">
        <f t="shared" si="187"/>
        <v>5.7.1 Holzwolle-Platten (WW)</v>
      </c>
      <c r="F619" s="1121">
        <f t="shared" si="189"/>
        <v>8.9000000000000024E-2</v>
      </c>
      <c r="G619" s="213">
        <f t="shared" si="192"/>
        <v>9.3000000000000013E-2</v>
      </c>
      <c r="H619" s="1115" t="str">
        <f t="shared" si="194"/>
        <v>2/5</v>
      </c>
      <c r="K619" s="1073"/>
      <c r="P619" s="324" t="str">
        <f t="shared" si="193"/>
        <v>5.7.1 Holzwolle-Platten (WW) [0,093]</v>
      </c>
      <c r="Q619" s="324"/>
      <c r="R619" s="338">
        <f t="shared" si="190"/>
        <v>9.3000000000000013E-2</v>
      </c>
      <c r="S619" s="330" t="str">
        <f t="shared" si="195"/>
        <v>5.7.1 Holzwolle-Platten (WW)</v>
      </c>
      <c r="T619" s="339"/>
      <c r="U619" s="339" t="str">
        <f t="shared" si="191"/>
        <v>[0,093]</v>
      </c>
    </row>
    <row r="620" spans="4:21" hidden="1">
      <c r="D620" s="228" t="str">
        <f t="shared" si="187"/>
        <v>5.7.1 Holzwolle-Platten (WW)</v>
      </c>
      <c r="F620" s="1121">
        <f t="shared" si="189"/>
        <v>9.0000000000000024E-2</v>
      </c>
      <c r="G620" s="213">
        <v>9.5000000000000001E-2</v>
      </c>
      <c r="H620" s="1115" t="str">
        <f t="shared" si="194"/>
        <v>2/5</v>
      </c>
      <c r="K620" s="1073"/>
      <c r="P620" s="324" t="str">
        <f t="shared" si="193"/>
        <v>5.7.1 Holzwolle-Platten (WW) [0,095]</v>
      </c>
      <c r="Q620" s="324"/>
      <c r="R620" s="338">
        <f t="shared" si="190"/>
        <v>9.5000000000000001E-2</v>
      </c>
      <c r="S620" s="330" t="str">
        <f t="shared" si="195"/>
        <v>5.7.1 Holzwolle-Platten (WW)</v>
      </c>
      <c r="T620" s="339"/>
      <c r="U620" s="339" t="str">
        <f t="shared" si="191"/>
        <v>[0,095]</v>
      </c>
    </row>
    <row r="621" spans="4:21" hidden="1">
      <c r="D621" s="228" t="str">
        <f t="shared" si="187"/>
        <v>5.7.1 Holzwolle-Platten (WW)</v>
      </c>
      <c r="F621" s="1121">
        <f t="shared" si="189"/>
        <v>9.1000000000000025E-2</v>
      </c>
      <c r="G621" s="216">
        <f t="shared" si="192"/>
        <v>9.6000000000000002E-2</v>
      </c>
      <c r="H621" s="1115" t="str">
        <f t="shared" si="194"/>
        <v>2/5</v>
      </c>
      <c r="K621" s="1073"/>
      <c r="P621" s="324" t="str">
        <f t="shared" si="193"/>
        <v>5.7.1 Holzwolle-Platten (WW) [0,096]</v>
      </c>
      <c r="Q621" s="324"/>
      <c r="R621" s="338">
        <f t="shared" si="190"/>
        <v>9.6000000000000002E-2</v>
      </c>
      <c r="S621" s="330" t="str">
        <f t="shared" si="195"/>
        <v>5.7.1 Holzwolle-Platten (WW)</v>
      </c>
      <c r="T621" s="339"/>
      <c r="U621" s="339" t="str">
        <f t="shared" si="191"/>
        <v>[0,096]</v>
      </c>
    </row>
    <row r="622" spans="4:21" hidden="1">
      <c r="D622" s="228" t="str">
        <f t="shared" si="187"/>
        <v>5.7.1 Holzwolle-Platten (WW)</v>
      </c>
      <c r="F622" s="1121">
        <f t="shared" si="189"/>
        <v>9.2000000000000026E-2</v>
      </c>
      <c r="G622" s="216">
        <f t="shared" si="192"/>
        <v>9.7000000000000003E-2</v>
      </c>
      <c r="H622" s="1115" t="str">
        <f t="shared" si="194"/>
        <v>2/5</v>
      </c>
      <c r="K622" s="1073"/>
      <c r="P622" s="324" t="str">
        <f t="shared" si="193"/>
        <v>5.7.1 Holzwolle-Platten (WW) [0,097]</v>
      </c>
      <c r="Q622" s="324"/>
      <c r="R622" s="338">
        <f t="shared" si="190"/>
        <v>9.7000000000000003E-2</v>
      </c>
      <c r="S622" s="330" t="str">
        <f t="shared" si="195"/>
        <v>5.7.1 Holzwolle-Platten (WW)</v>
      </c>
      <c r="T622" s="339"/>
      <c r="U622" s="339" t="str">
        <f t="shared" si="191"/>
        <v>[0,097]</v>
      </c>
    </row>
    <row r="623" spans="4:21" hidden="1">
      <c r="D623" s="228" t="str">
        <f t="shared" si="187"/>
        <v>5.7.1 Holzwolle-Platten (WW)</v>
      </c>
      <c r="F623" s="1121">
        <f t="shared" si="189"/>
        <v>9.3000000000000027E-2</v>
      </c>
      <c r="G623" s="216">
        <f t="shared" si="192"/>
        <v>9.8000000000000004E-2</v>
      </c>
      <c r="H623" s="1115" t="str">
        <f t="shared" si="194"/>
        <v>2/5</v>
      </c>
      <c r="K623" s="1073"/>
      <c r="P623" s="324" t="str">
        <f t="shared" si="193"/>
        <v>5.7.1 Holzwolle-Platten (WW) [0,098]</v>
      </c>
      <c r="Q623" s="324"/>
      <c r="R623" s="338">
        <f t="shared" si="190"/>
        <v>9.8000000000000004E-2</v>
      </c>
      <c r="S623" s="330" t="str">
        <f t="shared" si="195"/>
        <v>5.7.1 Holzwolle-Platten (WW)</v>
      </c>
      <c r="T623" s="339"/>
      <c r="U623" s="339" t="str">
        <f t="shared" si="191"/>
        <v>[0,098]</v>
      </c>
    </row>
    <row r="624" spans="4:21" hidden="1">
      <c r="D624" s="228" t="str">
        <f t="shared" si="187"/>
        <v>5.7.1 Holzwolle-Platten (WW)</v>
      </c>
      <c r="F624" s="1121">
        <f t="shared" si="189"/>
        <v>9.4000000000000028E-2</v>
      </c>
      <c r="G624" s="216">
        <f t="shared" si="192"/>
        <v>9.9000000000000005E-2</v>
      </c>
      <c r="H624" s="1115" t="str">
        <f t="shared" si="194"/>
        <v>2/5</v>
      </c>
      <c r="K624" s="1073"/>
      <c r="P624" s="324" t="str">
        <f t="shared" si="193"/>
        <v>5.7.1 Holzwolle-Platten (WW) [0,099]</v>
      </c>
      <c r="Q624" s="324"/>
      <c r="R624" s="338">
        <f t="shared" si="190"/>
        <v>9.9000000000000005E-2</v>
      </c>
      <c r="S624" s="330" t="str">
        <f t="shared" si="195"/>
        <v>5.7.1 Holzwolle-Platten (WW)</v>
      </c>
      <c r="T624" s="339"/>
      <c r="U624" s="339" t="str">
        <f t="shared" si="191"/>
        <v>[0,099]</v>
      </c>
    </row>
    <row r="625" spans="2:22" hidden="1">
      <c r="D625" s="228" t="str">
        <f t="shared" si="187"/>
        <v>5.7.1 Holzwolle-Platten (WW)</v>
      </c>
      <c r="F625" s="1121">
        <f t="shared" si="189"/>
        <v>9.5000000000000029E-2</v>
      </c>
      <c r="G625" s="216">
        <f t="shared" si="192"/>
        <v>0.1</v>
      </c>
      <c r="H625" s="1115" t="str">
        <f t="shared" si="194"/>
        <v>2/5</v>
      </c>
      <c r="K625" s="1073"/>
      <c r="P625" s="324" t="str">
        <f t="shared" si="193"/>
        <v>5.7.1 Holzwolle-Platten (WW) [0,1]</v>
      </c>
      <c r="Q625" s="324"/>
      <c r="R625" s="338">
        <f t="shared" si="190"/>
        <v>0.1</v>
      </c>
      <c r="S625" s="330" t="str">
        <f t="shared" si="195"/>
        <v>5.7.1 Holzwolle-Platten (WW)</v>
      </c>
      <c r="T625" s="339"/>
      <c r="U625" s="339" t="str">
        <f t="shared" si="191"/>
        <v>[0,1]</v>
      </c>
    </row>
    <row r="626" spans="2:22" hidden="1">
      <c r="D626" s="228" t="str">
        <f t="shared" si="187"/>
        <v>5.7.1 Holzwolle-Platten (WW)</v>
      </c>
      <c r="F626" s="1121">
        <f t="shared" si="189"/>
        <v>9.600000000000003E-2</v>
      </c>
      <c r="G626" s="216">
        <f t="shared" si="192"/>
        <v>0.10100000000000001</v>
      </c>
      <c r="H626" s="1115" t="str">
        <f t="shared" si="194"/>
        <v>2/5</v>
      </c>
      <c r="K626" s="1073"/>
      <c r="P626" s="324" t="str">
        <f t="shared" si="193"/>
        <v>5.7.1 Holzwolle-Platten (WW) [0,101]</v>
      </c>
      <c r="Q626" s="324"/>
      <c r="R626" s="338">
        <f t="shared" si="190"/>
        <v>0.10100000000000001</v>
      </c>
      <c r="S626" s="330" t="str">
        <f t="shared" si="195"/>
        <v>5.7.1 Holzwolle-Platten (WW)</v>
      </c>
      <c r="T626" s="339"/>
      <c r="U626" s="339" t="str">
        <f t="shared" si="191"/>
        <v>[0,101]</v>
      </c>
    </row>
    <row r="627" spans="2:22" hidden="1">
      <c r="D627" s="228" t="str">
        <f t="shared" si="187"/>
        <v>5.7.1 Holzwolle-Platten (WW)</v>
      </c>
      <c r="F627" s="1121">
        <f t="shared" si="189"/>
        <v>9.7000000000000031E-2</v>
      </c>
      <c r="G627" s="216">
        <f t="shared" si="192"/>
        <v>0.10200000000000001</v>
      </c>
      <c r="H627" s="1115" t="str">
        <f t="shared" si="194"/>
        <v>2/5</v>
      </c>
      <c r="K627" s="1073"/>
      <c r="P627" s="324" t="str">
        <f t="shared" si="193"/>
        <v>5.7.1 Holzwolle-Platten (WW) [0,102]</v>
      </c>
      <c r="Q627" s="324"/>
      <c r="R627" s="338">
        <f t="shared" si="190"/>
        <v>0.10200000000000001</v>
      </c>
      <c r="S627" s="330" t="str">
        <f t="shared" si="195"/>
        <v>5.7.1 Holzwolle-Platten (WW)</v>
      </c>
      <c r="T627" s="339"/>
      <c r="U627" s="339" t="str">
        <f t="shared" si="191"/>
        <v>[0,102]</v>
      </c>
    </row>
    <row r="628" spans="2:22" hidden="1">
      <c r="D628" s="228" t="str">
        <f t="shared" si="187"/>
        <v>5.7.1 Holzwolle-Platten (WW)</v>
      </c>
      <c r="F628" s="1121">
        <f t="shared" si="189"/>
        <v>9.8000000000000032E-2</v>
      </c>
      <c r="G628" s="216">
        <f t="shared" si="192"/>
        <v>0.10300000000000001</v>
      </c>
      <c r="H628" s="1115" t="str">
        <f t="shared" si="194"/>
        <v>2/5</v>
      </c>
      <c r="K628" s="1073"/>
      <c r="P628" s="324" t="str">
        <f t="shared" si="193"/>
        <v>5.7.1 Holzwolle-Platten (WW) [0,103]</v>
      </c>
      <c r="Q628" s="324"/>
      <c r="R628" s="338">
        <f t="shared" si="190"/>
        <v>0.10300000000000001</v>
      </c>
      <c r="S628" s="330" t="str">
        <f t="shared" si="195"/>
        <v>5.7.1 Holzwolle-Platten (WW)</v>
      </c>
      <c r="T628" s="339"/>
      <c r="U628" s="339" t="str">
        <f t="shared" si="191"/>
        <v>[0,103]</v>
      </c>
    </row>
    <row r="629" spans="2:22" hidden="1">
      <c r="D629" s="228" t="str">
        <f t="shared" si="187"/>
        <v>5.7.1 Holzwolle-Platten (WW)</v>
      </c>
      <c r="F629" s="1121">
        <f t="shared" si="189"/>
        <v>9.9000000000000032E-2</v>
      </c>
      <c r="G629" s="216">
        <f t="shared" si="192"/>
        <v>0.10400000000000001</v>
      </c>
      <c r="H629" s="1115" t="str">
        <f t="shared" si="194"/>
        <v>2/5</v>
      </c>
      <c r="K629" s="1073"/>
      <c r="P629" s="324" t="str">
        <f t="shared" si="193"/>
        <v>5.7.1 Holzwolle-Platten (WW) [0,104]</v>
      </c>
      <c r="Q629" s="324"/>
      <c r="R629" s="338">
        <f t="shared" si="190"/>
        <v>0.10400000000000001</v>
      </c>
      <c r="S629" s="330" t="str">
        <f t="shared" si="195"/>
        <v>5.7.1 Holzwolle-Platten (WW)</v>
      </c>
      <c r="T629" s="339"/>
      <c r="U629" s="339" t="str">
        <f t="shared" si="191"/>
        <v>[0,104]</v>
      </c>
    </row>
    <row r="630" spans="2:22" hidden="1">
      <c r="D630" s="228" t="str">
        <f t="shared" si="187"/>
        <v>5.7.1 Holzwolle-Platten (WW)</v>
      </c>
      <c r="F630" s="1121">
        <f t="shared" si="189"/>
        <v>0.10000000000000003</v>
      </c>
      <c r="G630" s="213">
        <f t="shared" si="192"/>
        <v>0.10500000000000001</v>
      </c>
      <c r="H630" s="1115" t="str">
        <f t="shared" si="194"/>
        <v>2/5</v>
      </c>
      <c r="K630" s="1073"/>
      <c r="O630" s="324" t="str">
        <f t="shared" ref="O630:O638" si="196">IF(AND(B630&gt;0,B630,LEFT(B630,1)&lt;&gt;" "),B630,"")</f>
        <v/>
      </c>
      <c r="P630" s="324" t="str">
        <f t="shared" si="193"/>
        <v>5.7.1 Holzwolle-Platten (WW) [0,105]</v>
      </c>
      <c r="Q630" s="324"/>
      <c r="R630" s="338">
        <f t="shared" si="190"/>
        <v>0.10500000000000001</v>
      </c>
      <c r="S630" s="330" t="str">
        <f t="shared" si="195"/>
        <v>5.7.1 Holzwolle-Platten (WW)</v>
      </c>
      <c r="T630" s="339"/>
      <c r="U630" s="339" t="str">
        <f t="shared" si="191"/>
        <v>[0,105]</v>
      </c>
    </row>
    <row r="631" spans="2:22" hidden="1">
      <c r="B631" s="213" t="s">
        <v>1852</v>
      </c>
      <c r="D631" s="213" t="s">
        <v>1853</v>
      </c>
      <c r="F631" s="1121">
        <v>0.03</v>
      </c>
      <c r="G631" s="213">
        <v>3.1E-2</v>
      </c>
      <c r="H631" s="1122" t="s">
        <v>1476</v>
      </c>
      <c r="I631" s="213" t="s">
        <v>802</v>
      </c>
      <c r="K631" s="1073"/>
      <c r="O631" s="324" t="str">
        <f t="shared" si="196"/>
        <v>5.7.2 Holzwolle-Platten mit EPS</v>
      </c>
      <c r="P631" s="324" t="str">
        <f t="shared" ref="P631:P638" si="197">S631&amp;IF(T631&lt;&gt;""," "&amp;T631,"")&amp;IF(U631&lt;&gt;""," "&amp;U631,"")&amp;IF(V631&lt;&gt;""," "&amp;V631,"")</f>
        <v>5.7.2 Holzw.-Mehrschichtpl. mit EPS [0,031] (Mehrschichtplatten)</v>
      </c>
      <c r="Q631" s="324"/>
      <c r="R631" s="338">
        <f t="shared" si="190"/>
        <v>3.1E-2</v>
      </c>
      <c r="S631" s="1118" t="s">
        <v>1869</v>
      </c>
      <c r="T631" s="339"/>
      <c r="U631" s="339" t="str">
        <f t="shared" si="191"/>
        <v>[0,031]</v>
      </c>
      <c r="V631" s="1118" t="s">
        <v>1708</v>
      </c>
    </row>
    <row r="632" spans="2:22" ht="12" hidden="1" customHeight="1">
      <c r="B632" s="1353" t="s">
        <v>1666</v>
      </c>
      <c r="C632" s="1353"/>
      <c r="D632" s="228" t="str">
        <f t="shared" ref="D632:D651" si="198">D631</f>
        <v>5.7.2 Holzwolle-Mehrschichtplatten mit EPS</v>
      </c>
      <c r="F632" s="1121">
        <v>3.1E-2</v>
      </c>
      <c r="G632" s="213">
        <f t="shared" ref="G632:G637" si="199">G631+0.001</f>
        <v>3.2000000000000001E-2</v>
      </c>
      <c r="H632" s="1115" t="str">
        <f t="shared" si="194"/>
        <v>20/50</v>
      </c>
      <c r="K632" s="1073"/>
      <c r="O632" s="324" t="str">
        <f t="shared" si="196"/>
        <v/>
      </c>
      <c r="P632" s="324" t="str">
        <f t="shared" si="197"/>
        <v>5.7.2 Holzw.-Mehrschichtpl. mit EPS [0,032] (Mehrschichtplatten)</v>
      </c>
      <c r="Q632" s="324"/>
      <c r="R632" s="338">
        <f t="shared" si="190"/>
        <v>3.2000000000000001E-2</v>
      </c>
      <c r="S632" s="1118" t="s">
        <v>1869</v>
      </c>
      <c r="T632" s="339"/>
      <c r="U632" s="339" t="str">
        <f t="shared" si="191"/>
        <v>[0,032]</v>
      </c>
      <c r="V632" s="1118" t="s">
        <v>1708</v>
      </c>
    </row>
    <row r="633" spans="2:22" hidden="1">
      <c r="B633" s="1353"/>
      <c r="C633" s="1353"/>
      <c r="D633" s="228" t="str">
        <f t="shared" si="198"/>
        <v>5.7.2 Holzwolle-Mehrschichtplatten mit EPS</v>
      </c>
      <c r="F633" s="1121">
        <f>F632+0.001</f>
        <v>3.2000000000000001E-2</v>
      </c>
      <c r="G633" s="216">
        <f t="shared" si="199"/>
        <v>3.3000000000000002E-2</v>
      </c>
      <c r="H633" s="1115" t="str">
        <f t="shared" si="194"/>
        <v>20/50</v>
      </c>
      <c r="K633" s="1073"/>
      <c r="O633" s="324" t="str">
        <f t="shared" si="196"/>
        <v/>
      </c>
      <c r="P633" s="324" t="str">
        <f t="shared" si="197"/>
        <v>5.7.2 Holzw.-Mehrschichtpl. mit EPS [0,033] (Mehrschichtplatten)</v>
      </c>
      <c r="Q633" s="324"/>
      <c r="R633" s="338">
        <f t="shared" si="190"/>
        <v>3.3000000000000002E-2</v>
      </c>
      <c r="S633" s="1118" t="s">
        <v>1869</v>
      </c>
      <c r="T633" s="339"/>
      <c r="U633" s="339" t="str">
        <f t="shared" si="191"/>
        <v>[0,033]</v>
      </c>
      <c r="V633" s="1118" t="s">
        <v>1708</v>
      </c>
    </row>
    <row r="634" spans="2:22" hidden="1">
      <c r="B634" s="1353"/>
      <c r="C634" s="1353"/>
      <c r="D634" s="228" t="str">
        <f t="shared" si="198"/>
        <v>5.7.2 Holzwolle-Mehrschichtplatten mit EPS</v>
      </c>
      <c r="F634" s="1121">
        <f t="shared" ref="F634:F651" si="200">F633+0.001</f>
        <v>3.3000000000000002E-2</v>
      </c>
      <c r="G634" s="216">
        <f t="shared" si="199"/>
        <v>3.4000000000000002E-2</v>
      </c>
      <c r="H634" s="1115" t="str">
        <f t="shared" si="194"/>
        <v>20/50</v>
      </c>
      <c r="K634" s="1073"/>
      <c r="O634" s="324" t="str">
        <f t="shared" si="196"/>
        <v/>
      </c>
      <c r="P634" s="324" t="str">
        <f t="shared" si="197"/>
        <v>5.7.2 Holzw.-Mehrschichtpl. mit EPS [0,034] (Mehrschichtplatten)</v>
      </c>
      <c r="Q634" s="324"/>
      <c r="R634" s="338">
        <f t="shared" si="190"/>
        <v>3.4000000000000002E-2</v>
      </c>
      <c r="S634" s="1118" t="s">
        <v>1869</v>
      </c>
      <c r="T634" s="339"/>
      <c r="U634" s="339" t="str">
        <f t="shared" si="191"/>
        <v>[0,034]</v>
      </c>
      <c r="V634" s="1118" t="s">
        <v>1708</v>
      </c>
    </row>
    <row r="635" spans="2:22" hidden="1">
      <c r="B635" s="1353"/>
      <c r="C635" s="1353"/>
      <c r="D635" s="228" t="str">
        <f t="shared" si="198"/>
        <v>5.7.2 Holzwolle-Mehrschichtplatten mit EPS</v>
      </c>
      <c r="F635" s="1121">
        <f t="shared" si="200"/>
        <v>3.4000000000000002E-2</v>
      </c>
      <c r="G635" s="216">
        <f t="shared" si="199"/>
        <v>3.5000000000000003E-2</v>
      </c>
      <c r="H635" s="1115" t="str">
        <f t="shared" si="194"/>
        <v>20/50</v>
      </c>
      <c r="K635" s="1073"/>
      <c r="O635" s="324" t="str">
        <f t="shared" si="196"/>
        <v/>
      </c>
      <c r="P635" s="324" t="str">
        <f t="shared" si="197"/>
        <v>5.7.2 Holzw.-Mehrschichtpl. mit EPS [0,035] (Mehrschichtplatten)</v>
      </c>
      <c r="Q635" s="324"/>
      <c r="R635" s="338">
        <f t="shared" si="190"/>
        <v>3.5000000000000003E-2</v>
      </c>
      <c r="S635" s="1118" t="s">
        <v>1869</v>
      </c>
      <c r="T635" s="339"/>
      <c r="U635" s="339" t="str">
        <f t="shared" si="191"/>
        <v>[0,035]</v>
      </c>
      <c r="V635" s="1118" t="s">
        <v>1708</v>
      </c>
    </row>
    <row r="636" spans="2:22" hidden="1">
      <c r="D636" s="228" t="str">
        <f t="shared" si="198"/>
        <v>5.7.2 Holzwolle-Mehrschichtplatten mit EPS</v>
      </c>
      <c r="F636" s="1121">
        <f t="shared" si="200"/>
        <v>3.5000000000000003E-2</v>
      </c>
      <c r="G636" s="216">
        <f t="shared" si="199"/>
        <v>3.6000000000000004E-2</v>
      </c>
      <c r="H636" s="1115" t="str">
        <f t="shared" si="194"/>
        <v>20/50</v>
      </c>
      <c r="K636" s="1073"/>
      <c r="O636" s="324" t="str">
        <f t="shared" si="196"/>
        <v/>
      </c>
      <c r="P636" s="324" t="str">
        <f t="shared" si="197"/>
        <v>5.7.2 Holzw.-Mehrschichtpl. mit EPS [0,036] (Mehrschichtplatten)</v>
      </c>
      <c r="Q636" s="324"/>
      <c r="R636" s="338">
        <f t="shared" si="190"/>
        <v>3.6000000000000004E-2</v>
      </c>
      <c r="S636" s="1118" t="s">
        <v>1869</v>
      </c>
      <c r="T636" s="339"/>
      <c r="U636" s="339" t="str">
        <f t="shared" si="191"/>
        <v>[0,036]</v>
      </c>
      <c r="V636" s="1118" t="s">
        <v>1708</v>
      </c>
    </row>
    <row r="637" spans="2:22" hidden="1">
      <c r="D637" s="228" t="str">
        <f t="shared" si="198"/>
        <v>5.7.2 Holzwolle-Mehrschichtplatten mit EPS</v>
      </c>
      <c r="F637" s="1121">
        <f t="shared" si="200"/>
        <v>3.6000000000000004E-2</v>
      </c>
      <c r="G637" s="216">
        <f t="shared" si="199"/>
        <v>3.7000000000000005E-2</v>
      </c>
      <c r="H637" s="1115" t="str">
        <f t="shared" si="194"/>
        <v>20/50</v>
      </c>
      <c r="K637" s="1073"/>
      <c r="O637" s="324" t="str">
        <f t="shared" si="196"/>
        <v/>
      </c>
      <c r="P637" s="324" t="str">
        <f t="shared" si="197"/>
        <v>5.7.2 Holzw.-Mehrschichtpl. mit EPS [0,037] (Mehrschichtplatten)</v>
      </c>
      <c r="Q637" s="324"/>
      <c r="R637" s="338">
        <f t="shared" si="190"/>
        <v>3.7000000000000005E-2</v>
      </c>
      <c r="S637" s="1118" t="s">
        <v>1869</v>
      </c>
      <c r="T637" s="339"/>
      <c r="U637" s="339" t="str">
        <f t="shared" si="191"/>
        <v>[0,037]</v>
      </c>
      <c r="V637" s="1118" t="s">
        <v>1708</v>
      </c>
    </row>
    <row r="638" spans="2:22" hidden="1">
      <c r="D638" s="228" t="str">
        <f t="shared" si="198"/>
        <v>5.7.2 Holzwolle-Mehrschichtplatten mit EPS</v>
      </c>
      <c r="F638" s="1121">
        <f t="shared" si="200"/>
        <v>3.7000000000000005E-2</v>
      </c>
      <c r="G638" s="216">
        <f t="shared" ref="G638:G650" si="201">G637+0.001</f>
        <v>3.8000000000000006E-2</v>
      </c>
      <c r="H638" s="1115" t="str">
        <f t="shared" si="194"/>
        <v>20/50</v>
      </c>
      <c r="K638" s="1073"/>
      <c r="O638" s="324" t="str">
        <f t="shared" si="196"/>
        <v/>
      </c>
      <c r="P638" s="324" t="str">
        <f t="shared" si="197"/>
        <v>5.7.2 Holzw.-Mehrschichtpl. mit EPS [0,038] (Mehrschichtplatten)</v>
      </c>
      <c r="Q638" s="324"/>
      <c r="R638" s="338">
        <f t="shared" si="190"/>
        <v>3.8000000000000006E-2</v>
      </c>
      <c r="S638" s="1118" t="s">
        <v>1869</v>
      </c>
      <c r="T638" s="339"/>
      <c r="U638" s="339" t="str">
        <f t="shared" si="191"/>
        <v>[0,038]</v>
      </c>
      <c r="V638" s="1118" t="s">
        <v>1708</v>
      </c>
    </row>
    <row r="639" spans="2:22" hidden="1">
      <c r="D639" s="228" t="str">
        <f t="shared" si="198"/>
        <v>5.7.2 Holzwolle-Mehrschichtplatten mit EPS</v>
      </c>
      <c r="F639" s="1121">
        <f t="shared" si="200"/>
        <v>3.8000000000000006E-2</v>
      </c>
      <c r="G639" s="216">
        <f t="shared" si="201"/>
        <v>3.9000000000000007E-2</v>
      </c>
      <c r="H639" s="1115" t="str">
        <f t="shared" si="194"/>
        <v>20/50</v>
      </c>
      <c r="K639" s="1073"/>
      <c r="P639" s="324" t="str">
        <f t="shared" ref="P639:P651" si="202">S639&amp;IF(T639&lt;&gt;""," "&amp;T639,"")&amp;IF(U639&lt;&gt;""," "&amp;U639,"")&amp;IF(V639&lt;&gt;""," "&amp;V639,"")</f>
        <v>5.7.2 Holzw.-Mehrschichtpl. mit EPS [0,039] (Mehrschichtplatten)</v>
      </c>
      <c r="Q639" s="324"/>
      <c r="R639" s="338">
        <f t="shared" si="190"/>
        <v>3.9000000000000007E-2</v>
      </c>
      <c r="S639" s="1118" t="s">
        <v>1869</v>
      </c>
      <c r="T639" s="339"/>
      <c r="U639" s="339" t="str">
        <f t="shared" si="191"/>
        <v>[0,039]</v>
      </c>
      <c r="V639" s="1118" t="s">
        <v>1708</v>
      </c>
    </row>
    <row r="640" spans="2:22" hidden="1">
      <c r="D640" s="228" t="str">
        <f t="shared" si="198"/>
        <v>5.7.2 Holzwolle-Mehrschichtplatten mit EPS</v>
      </c>
      <c r="F640" s="1121">
        <f t="shared" si="200"/>
        <v>3.9000000000000007E-2</v>
      </c>
      <c r="G640" s="216">
        <f t="shared" si="201"/>
        <v>4.0000000000000008E-2</v>
      </c>
      <c r="H640" s="1115" t="str">
        <f t="shared" si="194"/>
        <v>20/50</v>
      </c>
      <c r="K640" s="1073"/>
      <c r="P640" s="324" t="str">
        <f t="shared" si="202"/>
        <v>5.7.2 Holzw.-Mehrschichtpl. mit EPS [0,04] (Mehrschichtplatten)</v>
      </c>
      <c r="Q640" s="324"/>
      <c r="R640" s="338">
        <f t="shared" si="190"/>
        <v>4.0000000000000008E-2</v>
      </c>
      <c r="S640" s="1118" t="s">
        <v>1869</v>
      </c>
      <c r="T640" s="339"/>
      <c r="U640" s="339" t="str">
        <f t="shared" si="191"/>
        <v>[0,04]</v>
      </c>
      <c r="V640" s="1118" t="s">
        <v>1708</v>
      </c>
    </row>
    <row r="641" spans="2:22" hidden="1">
      <c r="D641" s="228" t="str">
        <f t="shared" si="198"/>
        <v>5.7.2 Holzwolle-Mehrschichtplatten mit EPS</v>
      </c>
      <c r="F641" s="1121">
        <f t="shared" si="200"/>
        <v>4.0000000000000008E-2</v>
      </c>
      <c r="G641" s="216">
        <f t="shared" si="201"/>
        <v>4.1000000000000009E-2</v>
      </c>
      <c r="H641" s="1115" t="str">
        <f t="shared" si="194"/>
        <v>20/50</v>
      </c>
      <c r="K641" s="1073"/>
      <c r="P641" s="324" t="str">
        <f t="shared" si="202"/>
        <v>5.7.2 Holzw.-Mehrschichtpl. mit EPS [0,041] (Mehrschichtplatten)</v>
      </c>
      <c r="Q641" s="324"/>
      <c r="R641" s="338">
        <f t="shared" si="190"/>
        <v>4.1000000000000009E-2</v>
      </c>
      <c r="S641" s="1118" t="s">
        <v>1869</v>
      </c>
      <c r="T641" s="339"/>
      <c r="U641" s="339" t="str">
        <f t="shared" si="191"/>
        <v>[0,041]</v>
      </c>
      <c r="V641" s="1118" t="s">
        <v>1708</v>
      </c>
    </row>
    <row r="642" spans="2:22" hidden="1">
      <c r="D642" s="228" t="str">
        <f t="shared" si="198"/>
        <v>5.7.2 Holzwolle-Mehrschichtplatten mit EPS</v>
      </c>
      <c r="F642" s="1121">
        <f t="shared" si="200"/>
        <v>4.1000000000000009E-2</v>
      </c>
      <c r="G642" s="216">
        <f t="shared" si="201"/>
        <v>4.200000000000001E-2</v>
      </c>
      <c r="H642" s="1115" t="str">
        <f t="shared" si="194"/>
        <v>20/50</v>
      </c>
      <c r="K642" s="1073"/>
      <c r="P642" s="324" t="str">
        <f t="shared" si="202"/>
        <v>5.7.2 Holzw.-Mehrschichtpl. mit EPS [0,042] (Mehrschichtplatten)</v>
      </c>
      <c r="Q642" s="324"/>
      <c r="R642" s="338">
        <f t="shared" si="190"/>
        <v>4.200000000000001E-2</v>
      </c>
      <c r="S642" s="1118" t="s">
        <v>1869</v>
      </c>
      <c r="T642" s="339"/>
      <c r="U642" s="339" t="str">
        <f t="shared" si="191"/>
        <v>[0,042]</v>
      </c>
      <c r="V642" s="1118" t="s">
        <v>1708</v>
      </c>
    </row>
    <row r="643" spans="2:22" hidden="1">
      <c r="D643" s="228" t="str">
        <f t="shared" si="198"/>
        <v>5.7.2 Holzwolle-Mehrschichtplatten mit EPS</v>
      </c>
      <c r="F643" s="1121">
        <f t="shared" si="200"/>
        <v>4.200000000000001E-2</v>
      </c>
      <c r="G643" s="216">
        <f t="shared" si="201"/>
        <v>4.300000000000001E-2</v>
      </c>
      <c r="H643" s="1115" t="str">
        <f t="shared" si="194"/>
        <v>20/50</v>
      </c>
      <c r="K643" s="1073"/>
      <c r="P643" s="324" t="str">
        <f t="shared" si="202"/>
        <v>5.7.2 Holzw.-Mehrschichtpl. mit EPS [0,043] (Mehrschichtplatten)</v>
      </c>
      <c r="Q643" s="324"/>
      <c r="R643" s="338">
        <f t="shared" si="190"/>
        <v>4.300000000000001E-2</v>
      </c>
      <c r="S643" s="1118" t="s">
        <v>1869</v>
      </c>
      <c r="T643" s="339"/>
      <c r="U643" s="339" t="str">
        <f t="shared" si="191"/>
        <v>[0,043]</v>
      </c>
      <c r="V643" s="1118" t="s">
        <v>1708</v>
      </c>
    </row>
    <row r="644" spans="2:22" hidden="1">
      <c r="D644" s="228" t="str">
        <f t="shared" si="198"/>
        <v>5.7.2 Holzwolle-Mehrschichtplatten mit EPS</v>
      </c>
      <c r="F644" s="1121">
        <f t="shared" si="200"/>
        <v>4.300000000000001E-2</v>
      </c>
      <c r="G644" s="216">
        <f t="shared" si="201"/>
        <v>4.4000000000000011E-2</v>
      </c>
      <c r="H644" s="1115" t="str">
        <f t="shared" si="194"/>
        <v>20/50</v>
      </c>
      <c r="K644" s="1073"/>
      <c r="P644" s="324" t="str">
        <f t="shared" si="202"/>
        <v>5.7.2 Holzw.-Mehrschichtpl. mit EPS [0,044] (Mehrschichtplatten)</v>
      </c>
      <c r="Q644" s="324"/>
      <c r="R644" s="338">
        <f t="shared" si="190"/>
        <v>4.4000000000000011E-2</v>
      </c>
      <c r="S644" s="1118" t="s">
        <v>1869</v>
      </c>
      <c r="T644" s="339"/>
      <c r="U644" s="339" t="str">
        <f t="shared" si="191"/>
        <v>[0,044]</v>
      </c>
      <c r="V644" s="1118" t="s">
        <v>1708</v>
      </c>
    </row>
    <row r="645" spans="2:22" hidden="1">
      <c r="D645" s="228" t="str">
        <f t="shared" si="198"/>
        <v>5.7.2 Holzwolle-Mehrschichtplatten mit EPS</v>
      </c>
      <c r="F645" s="1121">
        <f t="shared" si="200"/>
        <v>4.4000000000000011E-2</v>
      </c>
      <c r="G645" s="216">
        <f t="shared" si="201"/>
        <v>4.5000000000000012E-2</v>
      </c>
      <c r="H645" s="1115" t="str">
        <f t="shared" si="194"/>
        <v>20/50</v>
      </c>
      <c r="K645" s="1073"/>
      <c r="P645" s="324" t="str">
        <f t="shared" si="202"/>
        <v>5.7.2 Holzw.-Mehrschichtpl. mit EPS [0,045] (Mehrschichtplatten)</v>
      </c>
      <c r="Q645" s="324"/>
      <c r="R645" s="338">
        <f t="shared" si="190"/>
        <v>4.5000000000000012E-2</v>
      </c>
      <c r="S645" s="1118" t="s">
        <v>1869</v>
      </c>
      <c r="T645" s="339"/>
      <c r="U645" s="339" t="str">
        <f t="shared" si="191"/>
        <v>[0,045]</v>
      </c>
      <c r="V645" s="1118" t="s">
        <v>1708</v>
      </c>
    </row>
    <row r="646" spans="2:22" hidden="1">
      <c r="D646" s="228" t="str">
        <f t="shared" si="198"/>
        <v>5.7.2 Holzwolle-Mehrschichtplatten mit EPS</v>
      </c>
      <c r="F646" s="1121">
        <f t="shared" si="200"/>
        <v>4.5000000000000012E-2</v>
      </c>
      <c r="G646" s="216">
        <f t="shared" si="201"/>
        <v>4.6000000000000013E-2</v>
      </c>
      <c r="H646" s="1115" t="str">
        <f t="shared" si="194"/>
        <v>20/50</v>
      </c>
      <c r="K646" s="1073"/>
      <c r="P646" s="324" t="str">
        <f t="shared" si="202"/>
        <v>5.7.2 Holzw.-Mehrschichtpl. mit EPS [0,046] (Mehrschichtplatten)</v>
      </c>
      <c r="Q646" s="324"/>
      <c r="R646" s="338">
        <f t="shared" si="190"/>
        <v>4.6000000000000013E-2</v>
      </c>
      <c r="S646" s="1118" t="s">
        <v>1869</v>
      </c>
      <c r="T646" s="339"/>
      <c r="U646" s="339" t="str">
        <f t="shared" si="191"/>
        <v>[0,046]</v>
      </c>
      <c r="V646" s="1118" t="s">
        <v>1708</v>
      </c>
    </row>
    <row r="647" spans="2:22" hidden="1">
      <c r="D647" s="228" t="str">
        <f t="shared" si="198"/>
        <v>5.7.2 Holzwolle-Mehrschichtplatten mit EPS</v>
      </c>
      <c r="F647" s="1121">
        <f t="shared" si="200"/>
        <v>4.6000000000000013E-2</v>
      </c>
      <c r="G647" s="216">
        <f t="shared" si="201"/>
        <v>4.7000000000000014E-2</v>
      </c>
      <c r="H647" s="1115" t="str">
        <f t="shared" si="194"/>
        <v>20/50</v>
      </c>
      <c r="K647" s="1073"/>
      <c r="P647" s="324" t="str">
        <f t="shared" si="202"/>
        <v>5.7.2 Holzw.-Mehrschichtpl. mit EPS [0,047] (Mehrschichtplatten)</v>
      </c>
      <c r="Q647" s="324"/>
      <c r="R647" s="338">
        <f t="shared" si="190"/>
        <v>4.7000000000000014E-2</v>
      </c>
      <c r="S647" s="1118" t="s">
        <v>1869</v>
      </c>
      <c r="T647" s="339"/>
      <c r="U647" s="339" t="str">
        <f t="shared" si="191"/>
        <v>[0,047]</v>
      </c>
      <c r="V647" s="1118" t="s">
        <v>1708</v>
      </c>
    </row>
    <row r="648" spans="2:22" hidden="1">
      <c r="D648" s="228" t="str">
        <f t="shared" si="198"/>
        <v>5.7.2 Holzwolle-Mehrschichtplatten mit EPS</v>
      </c>
      <c r="F648" s="1121">
        <f t="shared" si="200"/>
        <v>4.7000000000000014E-2</v>
      </c>
      <c r="G648" s="216">
        <f t="shared" si="201"/>
        <v>4.8000000000000015E-2</v>
      </c>
      <c r="H648" s="1115" t="str">
        <f t="shared" si="194"/>
        <v>20/50</v>
      </c>
      <c r="K648" s="1073"/>
      <c r="P648" s="324" t="str">
        <f t="shared" si="202"/>
        <v>5.7.2 Holzw.-Mehrschichtpl. mit EPS [0,048] (Mehrschichtplatten)</v>
      </c>
      <c r="Q648" s="324"/>
      <c r="R648" s="338">
        <f t="shared" si="190"/>
        <v>4.8000000000000015E-2</v>
      </c>
      <c r="S648" s="1118" t="s">
        <v>1869</v>
      </c>
      <c r="T648" s="339"/>
      <c r="U648" s="339" t="str">
        <f t="shared" si="191"/>
        <v>[0,048]</v>
      </c>
      <c r="V648" s="1118" t="s">
        <v>1708</v>
      </c>
    </row>
    <row r="649" spans="2:22" hidden="1">
      <c r="D649" s="228" t="str">
        <f t="shared" si="198"/>
        <v>5.7.2 Holzwolle-Mehrschichtplatten mit EPS</v>
      </c>
      <c r="F649" s="1121">
        <f t="shared" si="200"/>
        <v>4.8000000000000015E-2</v>
      </c>
      <c r="G649" s="216">
        <f t="shared" si="201"/>
        <v>4.9000000000000016E-2</v>
      </c>
      <c r="H649" s="1115" t="str">
        <f t="shared" si="194"/>
        <v>20/50</v>
      </c>
      <c r="K649" s="1073"/>
      <c r="P649" s="324" t="str">
        <f t="shared" si="202"/>
        <v>5.7.2 Holzw.-Mehrschichtpl. mit EPS [0,049] (Mehrschichtplatten)</v>
      </c>
      <c r="Q649" s="324"/>
      <c r="R649" s="338">
        <f t="shared" si="190"/>
        <v>4.9000000000000016E-2</v>
      </c>
      <c r="S649" s="1118" t="s">
        <v>1869</v>
      </c>
      <c r="T649" s="339"/>
      <c r="U649" s="339" t="str">
        <f t="shared" si="191"/>
        <v>[0,049]</v>
      </c>
      <c r="V649" s="1118" t="s">
        <v>1708</v>
      </c>
    </row>
    <row r="650" spans="2:22" hidden="1">
      <c r="D650" s="228" t="str">
        <f t="shared" si="198"/>
        <v>5.7.2 Holzwolle-Mehrschichtplatten mit EPS</v>
      </c>
      <c r="F650" s="1121">
        <f t="shared" si="200"/>
        <v>4.9000000000000016E-2</v>
      </c>
      <c r="G650" s="213">
        <f t="shared" si="201"/>
        <v>5.0000000000000017E-2</v>
      </c>
      <c r="H650" s="1115" t="str">
        <f t="shared" si="194"/>
        <v>20/50</v>
      </c>
      <c r="K650" s="1073"/>
      <c r="P650" s="324" t="str">
        <f t="shared" si="202"/>
        <v>5.7.2 Holzw.-Mehrschichtpl. mit EPS [0,05] (Mehrschichtplatten)</v>
      </c>
      <c r="Q650" s="324"/>
      <c r="R650" s="338">
        <f t="shared" si="190"/>
        <v>5.0000000000000017E-2</v>
      </c>
      <c r="S650" s="1118" t="s">
        <v>1869</v>
      </c>
      <c r="T650" s="339"/>
      <c r="U650" s="339" t="str">
        <f t="shared" si="191"/>
        <v>[0,05]</v>
      </c>
      <c r="V650" s="1118" t="s">
        <v>1708</v>
      </c>
    </row>
    <row r="651" spans="2:22" hidden="1">
      <c r="D651" s="228" t="str">
        <f t="shared" si="198"/>
        <v>5.7.2 Holzwolle-Mehrschichtplatten mit EPS</v>
      </c>
      <c r="F651" s="1121">
        <f t="shared" si="200"/>
        <v>5.0000000000000017E-2</v>
      </c>
      <c r="G651" s="213">
        <v>5.1999999999999998E-2</v>
      </c>
      <c r="H651" s="1115" t="str">
        <f t="shared" si="194"/>
        <v>20/50</v>
      </c>
      <c r="K651" s="1073"/>
      <c r="O651" s="324" t="str">
        <f t="shared" ref="O651:O658" si="203">IF(AND(B651&gt;0,B651,LEFT(B651,1)&lt;&gt;" "),B651,"")</f>
        <v/>
      </c>
      <c r="P651" s="324" t="str">
        <f t="shared" si="202"/>
        <v>5.7.2 Holzw.-Mehrschichtpl. mit EPS [0,052] (Mehrschichtplatten)</v>
      </c>
      <c r="Q651" s="324"/>
      <c r="R651" s="338">
        <f t="shared" si="190"/>
        <v>5.1999999999999998E-2</v>
      </c>
      <c r="S651" s="1118" t="s">
        <v>1869</v>
      </c>
      <c r="T651" s="339"/>
      <c r="U651" s="339" t="str">
        <f t="shared" si="191"/>
        <v>[0,052]</v>
      </c>
      <c r="V651" s="1118" t="s">
        <v>1708</v>
      </c>
    </row>
    <row r="652" spans="2:22" hidden="1">
      <c r="B652" s="213" t="s">
        <v>1854</v>
      </c>
      <c r="D652" s="213" t="s">
        <v>1855</v>
      </c>
      <c r="F652" s="1121">
        <v>0.03</v>
      </c>
      <c r="G652" s="213">
        <v>3.1E-2</v>
      </c>
      <c r="H652" s="1122" t="s">
        <v>929</v>
      </c>
      <c r="I652" s="213" t="s">
        <v>802</v>
      </c>
      <c r="K652" s="1073"/>
      <c r="O652" s="324" t="str">
        <f t="shared" si="203"/>
        <v>5.7.2 Holzwolle-Platten mit MW</v>
      </c>
      <c r="P652" s="324" t="str">
        <f t="shared" ref="P652:P658" si="204">S652&amp;IF(T652&lt;&gt;""," "&amp;T652,"")&amp;IF(U652&lt;&gt;""," "&amp;U652,"")&amp;IF(V652&lt;&gt;""," "&amp;V652,"")</f>
        <v>5.7.2 Holzw.-Mehrschichtpl. mit MW [0,031] (Mehrschichtplatten)</v>
      </c>
      <c r="Q652" s="324"/>
      <c r="R652" s="338">
        <f t="shared" si="190"/>
        <v>3.1E-2</v>
      </c>
      <c r="S652" s="1118" t="s">
        <v>1870</v>
      </c>
      <c r="T652" s="339"/>
      <c r="U652" s="339" t="str">
        <f t="shared" si="191"/>
        <v>[0,031]</v>
      </c>
      <c r="V652" s="1118" t="s">
        <v>1708</v>
      </c>
    </row>
    <row r="653" spans="2:22" ht="12" hidden="1" customHeight="1">
      <c r="B653" s="1353" t="s">
        <v>1665</v>
      </c>
      <c r="C653" s="1353"/>
      <c r="D653" s="228" t="str">
        <f t="shared" ref="D653:D677" si="205">D652</f>
        <v>5.7.2 Holzwolle-Mehrschichtplatten mit MW</v>
      </c>
      <c r="F653" s="1121">
        <v>3.1E-2</v>
      </c>
      <c r="G653" s="213">
        <f t="shared" ref="G653:G658" si="206">G652+0.001</f>
        <v>3.2000000000000001E-2</v>
      </c>
      <c r="H653" s="1115" t="str">
        <f t="shared" si="194"/>
        <v>1</v>
      </c>
      <c r="K653" s="1073"/>
      <c r="O653" s="324" t="str">
        <f t="shared" si="203"/>
        <v/>
      </c>
      <c r="P653" s="324" t="str">
        <f t="shared" si="204"/>
        <v>5.7.2 Holzw.-Mehrschichtpl. mit MW [0,032] (Mehrschichtplatten)</v>
      </c>
      <c r="Q653" s="324"/>
      <c r="R653" s="338">
        <f t="shared" si="190"/>
        <v>3.2000000000000001E-2</v>
      </c>
      <c r="S653" s="1118" t="s">
        <v>1870</v>
      </c>
      <c r="T653" s="339"/>
      <c r="U653" s="339" t="str">
        <f t="shared" si="191"/>
        <v>[0,032]</v>
      </c>
      <c r="V653" s="1118" t="s">
        <v>1708</v>
      </c>
    </row>
    <row r="654" spans="2:22" hidden="1">
      <c r="B654" s="1353"/>
      <c r="C654" s="1353"/>
      <c r="D654" s="228" t="str">
        <f t="shared" si="205"/>
        <v>5.7.2 Holzwolle-Mehrschichtplatten mit MW</v>
      </c>
      <c r="F654" s="1121">
        <f>F653+0.001</f>
        <v>3.2000000000000001E-2</v>
      </c>
      <c r="G654" s="216">
        <f t="shared" si="206"/>
        <v>3.3000000000000002E-2</v>
      </c>
      <c r="H654" s="1115" t="str">
        <f t="shared" si="194"/>
        <v>1</v>
      </c>
      <c r="K654" s="1073"/>
      <c r="O654" s="324" t="str">
        <f t="shared" si="203"/>
        <v/>
      </c>
      <c r="P654" s="324" t="str">
        <f t="shared" si="204"/>
        <v>5.7.2 Holzw.-Mehrschichtpl. mit MW [0,033] (Mehrschichtplatten)</v>
      </c>
      <c r="Q654" s="324"/>
      <c r="R654" s="338">
        <f t="shared" si="190"/>
        <v>3.3000000000000002E-2</v>
      </c>
      <c r="S654" s="1118" t="s">
        <v>1870</v>
      </c>
      <c r="T654" s="339"/>
      <c r="U654" s="339" t="str">
        <f t="shared" si="191"/>
        <v>[0,033]</v>
      </c>
      <c r="V654" s="1118" t="s">
        <v>1708</v>
      </c>
    </row>
    <row r="655" spans="2:22" hidden="1">
      <c r="B655" s="1353"/>
      <c r="C655" s="1353"/>
      <c r="D655" s="228" t="str">
        <f t="shared" si="205"/>
        <v>5.7.2 Holzwolle-Mehrschichtplatten mit MW</v>
      </c>
      <c r="F655" s="1121">
        <f t="shared" ref="F655:F672" si="207">F654+0.001</f>
        <v>3.3000000000000002E-2</v>
      </c>
      <c r="G655" s="216">
        <f t="shared" si="206"/>
        <v>3.4000000000000002E-2</v>
      </c>
      <c r="H655" s="1115" t="str">
        <f t="shared" si="194"/>
        <v>1</v>
      </c>
      <c r="K655" s="1073"/>
      <c r="O655" s="324" t="str">
        <f t="shared" si="203"/>
        <v/>
      </c>
      <c r="P655" s="324" t="str">
        <f t="shared" si="204"/>
        <v>5.7.2 Holzw.-Mehrschichtpl. mit MW [0,034] (Mehrschichtplatten)</v>
      </c>
      <c r="Q655" s="324"/>
      <c r="R655" s="338">
        <f t="shared" si="190"/>
        <v>3.4000000000000002E-2</v>
      </c>
      <c r="S655" s="1118" t="s">
        <v>1870</v>
      </c>
      <c r="T655" s="339"/>
      <c r="U655" s="339" t="str">
        <f t="shared" si="191"/>
        <v>[0,034]</v>
      </c>
      <c r="V655" s="1118" t="s">
        <v>1708</v>
      </c>
    </row>
    <row r="656" spans="2:22" hidden="1">
      <c r="B656" s="1353"/>
      <c r="C656" s="1353"/>
      <c r="D656" s="228" t="str">
        <f t="shared" si="205"/>
        <v>5.7.2 Holzwolle-Mehrschichtplatten mit MW</v>
      </c>
      <c r="F656" s="1121">
        <f t="shared" si="207"/>
        <v>3.4000000000000002E-2</v>
      </c>
      <c r="G656" s="216">
        <f t="shared" si="206"/>
        <v>3.5000000000000003E-2</v>
      </c>
      <c r="H656" s="1115" t="str">
        <f t="shared" si="194"/>
        <v>1</v>
      </c>
      <c r="K656" s="1073"/>
      <c r="O656" s="324" t="str">
        <f t="shared" si="203"/>
        <v/>
      </c>
      <c r="P656" s="324" t="str">
        <f t="shared" si="204"/>
        <v>5.7.2 Holzw.-Mehrschichtpl. mit MW [0,035] (Mehrschichtplatten)</v>
      </c>
      <c r="Q656" s="324"/>
      <c r="R656" s="338">
        <f t="shared" si="190"/>
        <v>3.5000000000000003E-2</v>
      </c>
      <c r="S656" s="1118" t="s">
        <v>1870</v>
      </c>
      <c r="T656" s="339"/>
      <c r="U656" s="339" t="str">
        <f t="shared" si="191"/>
        <v>[0,035]</v>
      </c>
      <c r="V656" s="1118" t="s">
        <v>1708</v>
      </c>
    </row>
    <row r="657" spans="4:22" hidden="1">
      <c r="D657" s="228" t="str">
        <f t="shared" si="205"/>
        <v>5.7.2 Holzwolle-Mehrschichtplatten mit MW</v>
      </c>
      <c r="F657" s="1121">
        <f t="shared" si="207"/>
        <v>3.5000000000000003E-2</v>
      </c>
      <c r="G657" s="216">
        <f t="shared" si="206"/>
        <v>3.6000000000000004E-2</v>
      </c>
      <c r="H657" s="1115" t="str">
        <f t="shared" si="194"/>
        <v>1</v>
      </c>
      <c r="K657" s="1073"/>
      <c r="O657" s="324" t="str">
        <f t="shared" si="203"/>
        <v/>
      </c>
      <c r="P657" s="324" t="str">
        <f t="shared" si="204"/>
        <v>5.7.2 Holzw.-Mehrschichtpl. mit MW [0,036] (Mehrschichtplatten)</v>
      </c>
      <c r="Q657" s="324"/>
      <c r="R657" s="338">
        <f t="shared" si="190"/>
        <v>3.6000000000000004E-2</v>
      </c>
      <c r="S657" s="1118" t="s">
        <v>1870</v>
      </c>
      <c r="T657" s="339"/>
      <c r="U657" s="339" t="str">
        <f t="shared" si="191"/>
        <v>[0,036]</v>
      </c>
      <c r="V657" s="1118" t="s">
        <v>1708</v>
      </c>
    </row>
    <row r="658" spans="4:22" hidden="1">
      <c r="D658" s="228" t="str">
        <f t="shared" si="205"/>
        <v>5.7.2 Holzwolle-Mehrschichtplatten mit MW</v>
      </c>
      <c r="F658" s="1121">
        <f t="shared" si="207"/>
        <v>3.6000000000000004E-2</v>
      </c>
      <c r="G658" s="216">
        <f t="shared" si="206"/>
        <v>3.7000000000000005E-2</v>
      </c>
      <c r="H658" s="1115" t="str">
        <f t="shared" si="194"/>
        <v>1</v>
      </c>
      <c r="K658" s="1073"/>
      <c r="O658" s="324" t="str">
        <f t="shared" si="203"/>
        <v/>
      </c>
      <c r="P658" s="324" t="str">
        <f t="shared" si="204"/>
        <v>5.7.2 Holzw.-Mehrschichtpl. mit MW [0,037] (Mehrschichtplatten)</v>
      </c>
      <c r="Q658" s="324"/>
      <c r="R658" s="338">
        <f t="shared" si="190"/>
        <v>3.7000000000000005E-2</v>
      </c>
      <c r="S658" s="1118" t="s">
        <v>1870</v>
      </c>
      <c r="T658" s="339"/>
      <c r="U658" s="339" t="str">
        <f t="shared" si="191"/>
        <v>[0,037]</v>
      </c>
      <c r="V658" s="1118" t="s">
        <v>1708</v>
      </c>
    </row>
    <row r="659" spans="4:22" hidden="1">
      <c r="D659" s="228" t="str">
        <f t="shared" si="205"/>
        <v>5.7.2 Holzwolle-Mehrschichtplatten mit MW</v>
      </c>
      <c r="F659" s="1121">
        <f t="shared" si="207"/>
        <v>3.7000000000000005E-2</v>
      </c>
      <c r="G659" s="216">
        <f t="shared" ref="G659:G671" si="208">G658+0.001</f>
        <v>3.8000000000000006E-2</v>
      </c>
      <c r="H659" s="1115" t="str">
        <f t="shared" si="194"/>
        <v>1</v>
      </c>
      <c r="K659" s="1073"/>
      <c r="P659" s="324" t="str">
        <f t="shared" ref="P659:P672" si="209">S659&amp;IF(T659&lt;&gt;""," "&amp;T659,"")&amp;IF(U659&lt;&gt;""," "&amp;U659,"")&amp;IF(V659&lt;&gt;""," "&amp;V659,"")</f>
        <v>5.7.2 Holzw.-Mehrschichtpl. mit MW [0,038] (Mehrschichtplatten)</v>
      </c>
      <c r="Q659" s="324"/>
      <c r="R659" s="338">
        <f t="shared" si="190"/>
        <v>3.8000000000000006E-2</v>
      </c>
      <c r="S659" s="1118" t="s">
        <v>1870</v>
      </c>
      <c r="T659" s="339"/>
      <c r="U659" s="339" t="str">
        <f t="shared" si="191"/>
        <v>[0,038]</v>
      </c>
      <c r="V659" s="1118" t="s">
        <v>1708</v>
      </c>
    </row>
    <row r="660" spans="4:22" hidden="1">
      <c r="D660" s="228" t="str">
        <f t="shared" si="205"/>
        <v>5.7.2 Holzwolle-Mehrschichtplatten mit MW</v>
      </c>
      <c r="F660" s="1121">
        <f t="shared" si="207"/>
        <v>3.8000000000000006E-2</v>
      </c>
      <c r="G660" s="216">
        <f t="shared" si="208"/>
        <v>3.9000000000000007E-2</v>
      </c>
      <c r="H660" s="1115" t="str">
        <f t="shared" si="194"/>
        <v>1</v>
      </c>
      <c r="K660" s="1073"/>
      <c r="P660" s="324" t="str">
        <f t="shared" si="209"/>
        <v>5.7.2 Holzw.-Mehrschichtpl. mit MW [0,039] (Mehrschichtplatten)</v>
      </c>
      <c r="Q660" s="324"/>
      <c r="R660" s="338">
        <f t="shared" ref="R660:R730" si="210">G660</f>
        <v>3.9000000000000007E-2</v>
      </c>
      <c r="S660" s="1118" t="s">
        <v>1870</v>
      </c>
      <c r="T660" s="339"/>
      <c r="U660" s="339" t="str">
        <f t="shared" ref="U660:U730" si="211">IF(G660&gt;0,"["&amp;G660&amp;"]","")</f>
        <v>[0,039]</v>
      </c>
      <c r="V660" s="1118" t="s">
        <v>1708</v>
      </c>
    </row>
    <row r="661" spans="4:22" hidden="1">
      <c r="D661" s="228" t="str">
        <f t="shared" si="205"/>
        <v>5.7.2 Holzwolle-Mehrschichtplatten mit MW</v>
      </c>
      <c r="F661" s="1121">
        <f t="shared" si="207"/>
        <v>3.9000000000000007E-2</v>
      </c>
      <c r="G661" s="216">
        <f t="shared" si="208"/>
        <v>4.0000000000000008E-2</v>
      </c>
      <c r="H661" s="1115" t="str">
        <f t="shared" si="194"/>
        <v>1</v>
      </c>
      <c r="K661" s="1073"/>
      <c r="P661" s="324" t="str">
        <f t="shared" si="209"/>
        <v>5.7.2 Holzw.-Mehrschichtpl. mit MW [0,04] (Mehrschichtplatten)</v>
      </c>
      <c r="Q661" s="324"/>
      <c r="R661" s="338">
        <f t="shared" si="210"/>
        <v>4.0000000000000008E-2</v>
      </c>
      <c r="S661" s="1118" t="s">
        <v>1870</v>
      </c>
      <c r="T661" s="339"/>
      <c r="U661" s="339" t="str">
        <f t="shared" si="211"/>
        <v>[0,04]</v>
      </c>
      <c r="V661" s="1118" t="s">
        <v>1708</v>
      </c>
    </row>
    <row r="662" spans="4:22" hidden="1">
      <c r="D662" s="228" t="str">
        <f t="shared" si="205"/>
        <v>5.7.2 Holzwolle-Mehrschichtplatten mit MW</v>
      </c>
      <c r="F662" s="1121">
        <f t="shared" si="207"/>
        <v>4.0000000000000008E-2</v>
      </c>
      <c r="G662" s="216">
        <f t="shared" si="208"/>
        <v>4.1000000000000009E-2</v>
      </c>
      <c r="H662" s="1115" t="str">
        <f t="shared" ref="H662:H732" si="212">H661</f>
        <v>1</v>
      </c>
      <c r="K662" s="1073"/>
      <c r="P662" s="324" t="str">
        <f t="shared" si="209"/>
        <v>5.7.2 Holzw.-Mehrschichtpl. mit MW [0,041] (Mehrschichtplatten)</v>
      </c>
      <c r="Q662" s="324"/>
      <c r="R662" s="338">
        <f t="shared" si="210"/>
        <v>4.1000000000000009E-2</v>
      </c>
      <c r="S662" s="1118" t="s">
        <v>1870</v>
      </c>
      <c r="T662" s="339"/>
      <c r="U662" s="339" t="str">
        <f t="shared" si="211"/>
        <v>[0,041]</v>
      </c>
      <c r="V662" s="1118" t="s">
        <v>1708</v>
      </c>
    </row>
    <row r="663" spans="4:22" hidden="1">
      <c r="D663" s="228" t="str">
        <f t="shared" si="205"/>
        <v>5.7.2 Holzwolle-Mehrschichtplatten mit MW</v>
      </c>
      <c r="F663" s="1121">
        <f t="shared" si="207"/>
        <v>4.1000000000000009E-2</v>
      </c>
      <c r="G663" s="216">
        <f t="shared" si="208"/>
        <v>4.200000000000001E-2</v>
      </c>
      <c r="H663" s="1115" t="str">
        <f t="shared" si="212"/>
        <v>1</v>
      </c>
      <c r="K663" s="1073"/>
      <c r="P663" s="324" t="str">
        <f t="shared" si="209"/>
        <v>5.7.2 Holzw.-Mehrschichtpl. mit MW [0,042] (Mehrschichtplatten)</v>
      </c>
      <c r="Q663" s="324"/>
      <c r="R663" s="338">
        <f t="shared" si="210"/>
        <v>4.200000000000001E-2</v>
      </c>
      <c r="S663" s="1118" t="s">
        <v>1870</v>
      </c>
      <c r="T663" s="339"/>
      <c r="U663" s="339" t="str">
        <f t="shared" si="211"/>
        <v>[0,042]</v>
      </c>
      <c r="V663" s="1118" t="s">
        <v>1708</v>
      </c>
    </row>
    <row r="664" spans="4:22" hidden="1">
      <c r="D664" s="228" t="str">
        <f t="shared" si="205"/>
        <v>5.7.2 Holzwolle-Mehrschichtplatten mit MW</v>
      </c>
      <c r="F664" s="1121">
        <f t="shared" si="207"/>
        <v>4.200000000000001E-2</v>
      </c>
      <c r="G664" s="216">
        <f t="shared" si="208"/>
        <v>4.300000000000001E-2</v>
      </c>
      <c r="H664" s="1115" t="str">
        <f t="shared" si="212"/>
        <v>1</v>
      </c>
      <c r="K664" s="1073"/>
      <c r="P664" s="324" t="str">
        <f t="shared" si="209"/>
        <v>5.7.2 Holzw.-Mehrschichtpl. mit MW [0,043] (Mehrschichtplatten)</v>
      </c>
      <c r="Q664" s="324"/>
      <c r="R664" s="338">
        <f t="shared" si="210"/>
        <v>4.300000000000001E-2</v>
      </c>
      <c r="S664" s="1118" t="s">
        <v>1870</v>
      </c>
      <c r="T664" s="339"/>
      <c r="U664" s="339" t="str">
        <f t="shared" si="211"/>
        <v>[0,043]</v>
      </c>
      <c r="V664" s="1118" t="s">
        <v>1708</v>
      </c>
    </row>
    <row r="665" spans="4:22" hidden="1">
      <c r="D665" s="228" t="str">
        <f t="shared" si="205"/>
        <v>5.7.2 Holzwolle-Mehrschichtplatten mit MW</v>
      </c>
      <c r="F665" s="1121">
        <f t="shared" si="207"/>
        <v>4.300000000000001E-2</v>
      </c>
      <c r="G665" s="216">
        <f t="shared" si="208"/>
        <v>4.4000000000000011E-2</v>
      </c>
      <c r="H665" s="1115" t="str">
        <f t="shared" si="212"/>
        <v>1</v>
      </c>
      <c r="K665" s="1073"/>
      <c r="P665" s="324" t="str">
        <f t="shared" si="209"/>
        <v>5.7.2 Holzw.-Mehrschichtpl. mit MW [0,044] (Mehrschichtplatten)</v>
      </c>
      <c r="Q665" s="324"/>
      <c r="R665" s="338">
        <f t="shared" si="210"/>
        <v>4.4000000000000011E-2</v>
      </c>
      <c r="S665" s="1118" t="s">
        <v>1870</v>
      </c>
      <c r="T665" s="339"/>
      <c r="U665" s="339" t="str">
        <f t="shared" si="211"/>
        <v>[0,044]</v>
      </c>
      <c r="V665" s="1118" t="s">
        <v>1708</v>
      </c>
    </row>
    <row r="666" spans="4:22" hidden="1">
      <c r="D666" s="228" t="str">
        <f t="shared" si="205"/>
        <v>5.7.2 Holzwolle-Mehrschichtplatten mit MW</v>
      </c>
      <c r="F666" s="1121">
        <f t="shared" si="207"/>
        <v>4.4000000000000011E-2</v>
      </c>
      <c r="G666" s="216">
        <f t="shared" si="208"/>
        <v>4.5000000000000012E-2</v>
      </c>
      <c r="H666" s="1115" t="str">
        <f t="shared" si="212"/>
        <v>1</v>
      </c>
      <c r="K666" s="1073"/>
      <c r="P666" s="324" t="str">
        <f t="shared" si="209"/>
        <v>5.7.2 Holzw.-Mehrschichtpl. mit MW [0,045] (Mehrschichtplatten)</v>
      </c>
      <c r="Q666" s="324"/>
      <c r="R666" s="338">
        <f t="shared" si="210"/>
        <v>4.5000000000000012E-2</v>
      </c>
      <c r="S666" s="1118" t="s">
        <v>1870</v>
      </c>
      <c r="T666" s="339"/>
      <c r="U666" s="339" t="str">
        <f t="shared" si="211"/>
        <v>[0,045]</v>
      </c>
      <c r="V666" s="1118" t="s">
        <v>1708</v>
      </c>
    </row>
    <row r="667" spans="4:22" hidden="1">
      <c r="D667" s="228" t="str">
        <f t="shared" si="205"/>
        <v>5.7.2 Holzwolle-Mehrschichtplatten mit MW</v>
      </c>
      <c r="F667" s="1121">
        <f t="shared" si="207"/>
        <v>4.5000000000000012E-2</v>
      </c>
      <c r="G667" s="216">
        <f t="shared" si="208"/>
        <v>4.6000000000000013E-2</v>
      </c>
      <c r="H667" s="1115" t="str">
        <f t="shared" si="212"/>
        <v>1</v>
      </c>
      <c r="K667" s="1073"/>
      <c r="P667" s="324" t="str">
        <f t="shared" si="209"/>
        <v>5.7.2 Holzw.-Mehrschichtpl. mit MW [0,046] (Mehrschichtplatten)</v>
      </c>
      <c r="Q667" s="324"/>
      <c r="R667" s="338">
        <f t="shared" si="210"/>
        <v>4.6000000000000013E-2</v>
      </c>
      <c r="S667" s="1118" t="s">
        <v>1870</v>
      </c>
      <c r="T667" s="339"/>
      <c r="U667" s="339" t="str">
        <f t="shared" si="211"/>
        <v>[0,046]</v>
      </c>
      <c r="V667" s="1118" t="s">
        <v>1708</v>
      </c>
    </row>
    <row r="668" spans="4:22" hidden="1">
      <c r="D668" s="228" t="str">
        <f t="shared" si="205"/>
        <v>5.7.2 Holzwolle-Mehrschichtplatten mit MW</v>
      </c>
      <c r="F668" s="1121">
        <f t="shared" si="207"/>
        <v>4.6000000000000013E-2</v>
      </c>
      <c r="G668" s="216">
        <f t="shared" si="208"/>
        <v>4.7000000000000014E-2</v>
      </c>
      <c r="H668" s="1115" t="str">
        <f t="shared" si="212"/>
        <v>1</v>
      </c>
      <c r="K668" s="1073"/>
      <c r="P668" s="324" t="str">
        <f t="shared" si="209"/>
        <v>5.7.2 Holzw.-Mehrschichtpl. mit MW [0,047] (Mehrschichtplatten)</v>
      </c>
      <c r="Q668" s="324"/>
      <c r="R668" s="338">
        <f t="shared" si="210"/>
        <v>4.7000000000000014E-2</v>
      </c>
      <c r="S668" s="1118" t="s">
        <v>1870</v>
      </c>
      <c r="T668" s="339"/>
      <c r="U668" s="339" t="str">
        <f t="shared" si="211"/>
        <v>[0,047]</v>
      </c>
      <c r="V668" s="1118" t="s">
        <v>1708</v>
      </c>
    </row>
    <row r="669" spans="4:22" hidden="1">
      <c r="D669" s="228" t="str">
        <f t="shared" si="205"/>
        <v>5.7.2 Holzwolle-Mehrschichtplatten mit MW</v>
      </c>
      <c r="F669" s="1121">
        <f t="shared" si="207"/>
        <v>4.7000000000000014E-2</v>
      </c>
      <c r="G669" s="216">
        <f t="shared" si="208"/>
        <v>4.8000000000000015E-2</v>
      </c>
      <c r="H669" s="1115" t="str">
        <f t="shared" si="212"/>
        <v>1</v>
      </c>
      <c r="K669" s="1073"/>
      <c r="P669" s="324" t="str">
        <f t="shared" si="209"/>
        <v>5.7.2 Holzw.-Mehrschichtpl. mit MW [0,048] (Mehrschichtplatten)</v>
      </c>
      <c r="Q669" s="324"/>
      <c r="R669" s="338">
        <f t="shared" si="210"/>
        <v>4.8000000000000015E-2</v>
      </c>
      <c r="S669" s="1118" t="s">
        <v>1870</v>
      </c>
      <c r="T669" s="339"/>
      <c r="U669" s="339" t="str">
        <f t="shared" si="211"/>
        <v>[0,048]</v>
      </c>
      <c r="V669" s="1118" t="s">
        <v>1708</v>
      </c>
    </row>
    <row r="670" spans="4:22" hidden="1">
      <c r="D670" s="228" t="str">
        <f t="shared" si="205"/>
        <v>5.7.2 Holzwolle-Mehrschichtplatten mit MW</v>
      </c>
      <c r="F670" s="1121">
        <f t="shared" si="207"/>
        <v>4.8000000000000015E-2</v>
      </c>
      <c r="G670" s="216">
        <f t="shared" si="208"/>
        <v>4.9000000000000016E-2</v>
      </c>
      <c r="H670" s="1115" t="str">
        <f t="shared" si="212"/>
        <v>1</v>
      </c>
      <c r="K670" s="1073"/>
      <c r="O670" s="324" t="str">
        <f t="shared" ref="O670:O683" si="213">IF(AND(B670&gt;0,B670,LEFT(B670,1)&lt;&gt;" "),B670,"")</f>
        <v/>
      </c>
      <c r="P670" s="324" t="str">
        <f t="shared" si="209"/>
        <v>5.7.2 Holzw.-Mehrschichtpl. mit MW [0,049] (Mehrschichtplatten)</v>
      </c>
      <c r="Q670" s="324"/>
      <c r="R670" s="338">
        <f t="shared" si="210"/>
        <v>4.9000000000000016E-2</v>
      </c>
      <c r="S670" s="1118" t="s">
        <v>1870</v>
      </c>
      <c r="T670" s="339"/>
      <c r="U670" s="339" t="str">
        <f t="shared" si="211"/>
        <v>[0,049]</v>
      </c>
      <c r="V670" s="1118" t="s">
        <v>1708</v>
      </c>
    </row>
    <row r="671" spans="4:22" hidden="1">
      <c r="D671" s="228" t="str">
        <f t="shared" si="205"/>
        <v>5.7.2 Holzwolle-Mehrschichtplatten mit MW</v>
      </c>
      <c r="F671" s="1121">
        <f t="shared" si="207"/>
        <v>4.9000000000000016E-2</v>
      </c>
      <c r="G671" s="213">
        <f t="shared" si="208"/>
        <v>5.0000000000000017E-2</v>
      </c>
      <c r="H671" s="1115" t="str">
        <f t="shared" si="212"/>
        <v>1</v>
      </c>
      <c r="K671" s="1073"/>
      <c r="O671" s="324" t="str">
        <f t="shared" si="213"/>
        <v/>
      </c>
      <c r="P671" s="324" t="str">
        <f t="shared" si="209"/>
        <v>5.7.2 Holzw.-Mehrschichtpl. mit MW [0,05] (Mehrschichtplatten)</v>
      </c>
      <c r="Q671" s="324"/>
      <c r="R671" s="338">
        <f t="shared" si="210"/>
        <v>5.0000000000000017E-2</v>
      </c>
      <c r="S671" s="1118" t="s">
        <v>1870</v>
      </c>
      <c r="T671" s="339"/>
      <c r="U671" s="339" t="str">
        <f t="shared" si="211"/>
        <v>[0,05]</v>
      </c>
      <c r="V671" s="1118" t="s">
        <v>1708</v>
      </c>
    </row>
    <row r="672" spans="4:22" hidden="1">
      <c r="D672" s="228" t="str">
        <f t="shared" si="205"/>
        <v>5.7.2 Holzwolle-Mehrschichtplatten mit MW</v>
      </c>
      <c r="F672" s="1121">
        <f t="shared" si="207"/>
        <v>5.0000000000000017E-2</v>
      </c>
      <c r="G672" s="213">
        <v>5.1999999999999998E-2</v>
      </c>
      <c r="H672" s="1115" t="str">
        <f t="shared" si="212"/>
        <v>1</v>
      </c>
      <c r="K672" s="1073"/>
      <c r="O672" s="324" t="str">
        <f t="shared" si="213"/>
        <v/>
      </c>
      <c r="P672" s="324" t="str">
        <f t="shared" si="209"/>
        <v>5.7.2 Holzw.-Mehrschichtpl. mit MW [0,052] (Mehrschichtplatten)</v>
      </c>
      <c r="Q672" s="324"/>
      <c r="R672" s="338">
        <f t="shared" si="210"/>
        <v>5.1999999999999998E-2</v>
      </c>
      <c r="S672" s="1118" t="s">
        <v>1870</v>
      </c>
      <c r="T672" s="339"/>
      <c r="U672" s="339" t="str">
        <f t="shared" si="211"/>
        <v>[0,052]</v>
      </c>
      <c r="V672" s="1118" t="s">
        <v>1708</v>
      </c>
    </row>
    <row r="673" spans="2:21" hidden="1">
      <c r="B673" s="213" t="s">
        <v>1471</v>
      </c>
      <c r="D673" s="213" t="s">
        <v>1471</v>
      </c>
      <c r="F673" s="1121">
        <v>0.1</v>
      </c>
      <c r="G673" s="213">
        <v>0.12</v>
      </c>
      <c r="H673" s="1122" t="s">
        <v>1475</v>
      </c>
      <c r="I673" s="213" t="s">
        <v>1086</v>
      </c>
      <c r="K673" s="1073"/>
      <c r="O673" s="324" t="str">
        <f t="shared" si="213"/>
        <v>5.7.2 Holzwolledeckschicht(en)</v>
      </c>
      <c r="P673" s="324" t="str">
        <f t="shared" ref="P673:P683" si="214">S673&amp;IF(T673&lt;&gt;""," "&amp;T673,"")&amp;IF(U673&lt;&gt;""," "&amp;U673,"")&amp;IF(V673&lt;&gt;""," "&amp;V673,"")</f>
        <v>5.7.2 Holzwolledeckschicht(en) [0,12]</v>
      </c>
      <c r="Q673" s="324"/>
      <c r="R673" s="338">
        <f t="shared" si="210"/>
        <v>0.12</v>
      </c>
      <c r="S673" s="330" t="str">
        <f t="shared" ref="S673:S709" si="215">D673</f>
        <v>5.7.2 Holzwolledeckschicht(en)</v>
      </c>
      <c r="T673" s="339"/>
      <c r="U673" s="339" t="str">
        <f t="shared" si="211"/>
        <v>[0,12]</v>
      </c>
    </row>
    <row r="674" spans="2:21" ht="12" hidden="1" customHeight="1">
      <c r="B674" s="1353" t="s">
        <v>1664</v>
      </c>
      <c r="C674" s="1353"/>
      <c r="D674" s="228" t="str">
        <f t="shared" si="205"/>
        <v>5.7.2 Holzwolledeckschicht(en)</v>
      </c>
      <c r="F674" s="1121">
        <v>0.11</v>
      </c>
      <c r="G674" s="213">
        <v>0.13</v>
      </c>
      <c r="H674" s="1115" t="str">
        <f t="shared" si="212"/>
        <v>2/5</v>
      </c>
      <c r="K674" s="1073"/>
      <c r="O674" s="324" t="str">
        <f t="shared" si="213"/>
        <v/>
      </c>
      <c r="P674" s="324" t="str">
        <f t="shared" si="214"/>
        <v>5.7.2 Holzwolledeckschicht(en) [0,13]</v>
      </c>
      <c r="Q674" s="324"/>
      <c r="R674" s="338">
        <f t="shared" si="210"/>
        <v>0.13</v>
      </c>
      <c r="S674" s="330" t="str">
        <f t="shared" si="215"/>
        <v>5.7.2 Holzwolledeckschicht(en)</v>
      </c>
      <c r="T674" s="339"/>
      <c r="U674" s="339" t="str">
        <f t="shared" si="211"/>
        <v>[0,13]</v>
      </c>
    </row>
    <row r="675" spans="2:21" hidden="1">
      <c r="B675" s="1353"/>
      <c r="C675" s="1353"/>
      <c r="D675" s="228" t="str">
        <f t="shared" si="205"/>
        <v>5.7.2 Holzwolledeckschicht(en)</v>
      </c>
      <c r="F675" s="1121">
        <v>0.12</v>
      </c>
      <c r="G675" s="213">
        <v>0.14000000000000001</v>
      </c>
      <c r="H675" s="1115" t="str">
        <f t="shared" si="212"/>
        <v>2/5</v>
      </c>
      <c r="K675" s="1073"/>
      <c r="O675" s="324" t="str">
        <f t="shared" si="213"/>
        <v/>
      </c>
      <c r="P675" s="324" t="str">
        <f t="shared" si="214"/>
        <v>5.7.2 Holzwolledeckschicht(en) [0,14]</v>
      </c>
      <c r="Q675" s="324"/>
      <c r="R675" s="338">
        <f t="shared" si="210"/>
        <v>0.14000000000000001</v>
      </c>
      <c r="S675" s="330" t="str">
        <f t="shared" si="215"/>
        <v>5.7.2 Holzwolledeckschicht(en)</v>
      </c>
      <c r="T675" s="339"/>
      <c r="U675" s="339" t="str">
        <f t="shared" si="211"/>
        <v>[0,14]</v>
      </c>
    </row>
    <row r="676" spans="2:21" hidden="1">
      <c r="D676" s="228" t="str">
        <f t="shared" si="205"/>
        <v>5.7.2 Holzwolledeckschicht(en)</v>
      </c>
      <c r="F676" s="1121">
        <v>0.13</v>
      </c>
      <c r="G676" s="213">
        <v>0.16</v>
      </c>
      <c r="H676" s="1115" t="str">
        <f t="shared" si="212"/>
        <v>2/5</v>
      </c>
      <c r="K676" s="1073"/>
      <c r="O676" s="324" t="str">
        <f t="shared" si="213"/>
        <v/>
      </c>
      <c r="P676" s="324" t="str">
        <f t="shared" si="214"/>
        <v>5.7.2 Holzwolledeckschicht(en) [0,16]</v>
      </c>
      <c r="Q676" s="324"/>
      <c r="R676" s="338">
        <f t="shared" si="210"/>
        <v>0.16</v>
      </c>
      <c r="S676" s="330" t="str">
        <f t="shared" si="215"/>
        <v>5.7.2 Holzwolledeckschicht(en)</v>
      </c>
      <c r="T676" s="339"/>
      <c r="U676" s="339" t="str">
        <f t="shared" si="211"/>
        <v>[0,16]</v>
      </c>
    </row>
    <row r="677" spans="2:21" hidden="1">
      <c r="D677" s="228" t="str">
        <f t="shared" si="205"/>
        <v>5.7.2 Holzwolledeckschicht(en)</v>
      </c>
      <c r="F677" s="1121">
        <v>0.14000000000000001</v>
      </c>
      <c r="G677" s="213">
        <v>0.17</v>
      </c>
      <c r="H677" s="1115" t="str">
        <f t="shared" si="212"/>
        <v>2/5</v>
      </c>
      <c r="K677" s="1073"/>
      <c r="O677" s="324" t="str">
        <f t="shared" si="213"/>
        <v/>
      </c>
      <c r="P677" s="324" t="str">
        <f t="shared" si="214"/>
        <v>5.7.2 Holzwolledeckschicht(en) [0,17]</v>
      </c>
      <c r="Q677" s="324"/>
      <c r="R677" s="338">
        <f t="shared" si="210"/>
        <v>0.17</v>
      </c>
      <c r="S677" s="330" t="str">
        <f t="shared" si="215"/>
        <v>5.7.2 Holzwolledeckschicht(en)</v>
      </c>
      <c r="T677" s="339"/>
      <c r="U677" s="339" t="str">
        <f t="shared" si="211"/>
        <v>[0,17]</v>
      </c>
    </row>
    <row r="678" spans="2:21" hidden="1">
      <c r="B678" s="213" t="s">
        <v>1472</v>
      </c>
      <c r="D678" s="213" t="s">
        <v>1856</v>
      </c>
      <c r="F678" s="1121">
        <v>4.4999999999999998E-2</v>
      </c>
      <c r="G678" s="213">
        <v>4.5999999999999999E-2</v>
      </c>
      <c r="H678" s="1122" t="s">
        <v>1477</v>
      </c>
      <c r="I678" s="213" t="s">
        <v>802</v>
      </c>
      <c r="K678" s="1073"/>
      <c r="O678" s="324" t="str">
        <f t="shared" si="213"/>
        <v>5.8 Blähperlit</v>
      </c>
      <c r="P678" s="324" t="str">
        <f t="shared" si="214"/>
        <v>5.8 Blähperlit (EPB) [0,046]</v>
      </c>
      <c r="Q678" s="324"/>
      <c r="R678" s="338">
        <f t="shared" si="210"/>
        <v>4.5999999999999999E-2</v>
      </c>
      <c r="S678" s="330" t="str">
        <f t="shared" si="215"/>
        <v>5.8 Blähperlit (EPB)</v>
      </c>
      <c r="T678" s="339"/>
      <c r="U678" s="339" t="str">
        <f t="shared" si="211"/>
        <v>[0,046]</v>
      </c>
    </row>
    <row r="679" spans="2:21" ht="12" hidden="1" customHeight="1">
      <c r="B679" s="1353" t="s">
        <v>1861</v>
      </c>
      <c r="C679" s="1353"/>
      <c r="D679" s="228" t="str">
        <f t="shared" ref="D679:D703" si="216">D678</f>
        <v>5.8 Blähperlit (EPB)</v>
      </c>
      <c r="F679" s="1121">
        <f>F678+0.001</f>
        <v>4.5999999999999999E-2</v>
      </c>
      <c r="G679" s="213">
        <f>G678+0.001</f>
        <v>4.7E-2</v>
      </c>
      <c r="H679" s="1115" t="str">
        <f t="shared" si="212"/>
        <v>5</v>
      </c>
      <c r="K679" s="1073"/>
      <c r="O679" s="324" t="str">
        <f t="shared" si="213"/>
        <v/>
      </c>
      <c r="P679" s="324" t="str">
        <f t="shared" si="214"/>
        <v>5.8 Blähperlit (EPB) [0,047]</v>
      </c>
      <c r="Q679" s="324"/>
      <c r="R679" s="338">
        <f t="shared" si="210"/>
        <v>4.7E-2</v>
      </c>
      <c r="S679" s="330" t="str">
        <f t="shared" si="215"/>
        <v>5.8 Blähperlit (EPB)</v>
      </c>
      <c r="T679" s="339"/>
      <c r="U679" s="339" t="str">
        <f t="shared" si="211"/>
        <v>[0,047]</v>
      </c>
    </row>
    <row r="680" spans="2:21" hidden="1">
      <c r="B680" s="1353"/>
      <c r="C680" s="1353"/>
      <c r="D680" s="228" t="str">
        <f t="shared" si="216"/>
        <v>5.8 Blähperlit (EPB)</v>
      </c>
      <c r="F680" s="1121">
        <f t="shared" ref="F680:F698" si="217">F679+0.001</f>
        <v>4.7E-2</v>
      </c>
      <c r="G680" s="216">
        <f>G679+0.001</f>
        <v>4.8000000000000001E-2</v>
      </c>
      <c r="H680" s="1115" t="str">
        <f t="shared" si="212"/>
        <v>5</v>
      </c>
      <c r="K680" s="1073"/>
      <c r="O680" s="324" t="str">
        <f t="shared" si="213"/>
        <v/>
      </c>
      <c r="P680" s="324" t="str">
        <f t="shared" si="214"/>
        <v>5.8 Blähperlit (EPB) [0,048]</v>
      </c>
      <c r="Q680" s="324"/>
      <c r="R680" s="338">
        <f t="shared" si="210"/>
        <v>4.8000000000000001E-2</v>
      </c>
      <c r="S680" s="330" t="str">
        <f t="shared" si="215"/>
        <v>5.8 Blähperlit (EPB)</v>
      </c>
      <c r="T680" s="339"/>
      <c r="U680" s="339" t="str">
        <f t="shared" si="211"/>
        <v>[0,048]</v>
      </c>
    </row>
    <row r="681" spans="2:21" hidden="1">
      <c r="D681" s="228" t="str">
        <f t="shared" si="216"/>
        <v>5.8 Blähperlit (EPB)</v>
      </c>
      <c r="F681" s="1121">
        <f t="shared" si="217"/>
        <v>4.8000000000000001E-2</v>
      </c>
      <c r="G681" s="216">
        <f>G680+0.001</f>
        <v>4.9000000000000002E-2</v>
      </c>
      <c r="H681" s="1115" t="str">
        <f t="shared" si="212"/>
        <v>5</v>
      </c>
      <c r="K681" s="1073"/>
      <c r="O681" s="324" t="str">
        <f t="shared" si="213"/>
        <v/>
      </c>
      <c r="P681" s="324" t="str">
        <f t="shared" si="214"/>
        <v>5.8 Blähperlit (EPB) [0,049]</v>
      </c>
      <c r="Q681" s="324"/>
      <c r="R681" s="338">
        <f t="shared" si="210"/>
        <v>4.9000000000000002E-2</v>
      </c>
      <c r="S681" s="330" t="str">
        <f t="shared" si="215"/>
        <v>5.8 Blähperlit (EPB)</v>
      </c>
      <c r="T681" s="339"/>
      <c r="U681" s="339" t="str">
        <f t="shared" si="211"/>
        <v>[0,049]</v>
      </c>
    </row>
    <row r="682" spans="2:21" hidden="1">
      <c r="D682" s="228" t="str">
        <f t="shared" si="216"/>
        <v>5.8 Blähperlit (EPB)</v>
      </c>
      <c r="F682" s="1121">
        <f t="shared" si="217"/>
        <v>4.9000000000000002E-2</v>
      </c>
      <c r="G682" s="213">
        <f t="shared" ref="G682:G703" si="218">G681+0.001</f>
        <v>0.05</v>
      </c>
      <c r="H682" s="1115" t="str">
        <f t="shared" si="212"/>
        <v>5</v>
      </c>
      <c r="K682" s="1073"/>
      <c r="O682" s="324" t="str">
        <f t="shared" si="213"/>
        <v/>
      </c>
      <c r="P682" s="324" t="str">
        <f t="shared" si="214"/>
        <v>5.8 Blähperlit (EPB) [0,05]</v>
      </c>
      <c r="Q682" s="324"/>
      <c r="R682" s="338">
        <f t="shared" si="210"/>
        <v>0.05</v>
      </c>
      <c r="S682" s="330" t="str">
        <f t="shared" si="215"/>
        <v>5.8 Blähperlit (EPB)</v>
      </c>
      <c r="T682" s="339"/>
      <c r="U682" s="339" t="str">
        <f t="shared" si="211"/>
        <v>[0,05]</v>
      </c>
    </row>
    <row r="683" spans="2:21" hidden="1">
      <c r="D683" s="228" t="str">
        <f t="shared" si="216"/>
        <v>5.8 Blähperlit (EPB)</v>
      </c>
      <c r="F683" s="1121">
        <f t="shared" si="217"/>
        <v>0.05</v>
      </c>
      <c r="G683" s="213">
        <f>0.052</f>
        <v>5.1999999999999998E-2</v>
      </c>
      <c r="H683" s="1115" t="str">
        <f t="shared" si="212"/>
        <v>5</v>
      </c>
      <c r="K683" s="1073"/>
      <c r="O683" s="324" t="str">
        <f t="shared" si="213"/>
        <v/>
      </c>
      <c r="P683" s="324" t="str">
        <f t="shared" si="214"/>
        <v>5.8 Blähperlit (EPB) [0,052]</v>
      </c>
      <c r="Q683" s="324"/>
      <c r="R683" s="338">
        <f t="shared" si="210"/>
        <v>5.1999999999999998E-2</v>
      </c>
      <c r="S683" s="330" t="str">
        <f t="shared" si="215"/>
        <v>5.8 Blähperlit (EPB)</v>
      </c>
      <c r="T683" s="339"/>
      <c r="U683" s="339" t="str">
        <f t="shared" si="211"/>
        <v>[0,052]</v>
      </c>
    </row>
    <row r="684" spans="2:21" hidden="1">
      <c r="D684" s="228" t="str">
        <f t="shared" si="216"/>
        <v>5.8 Blähperlit (EPB)</v>
      </c>
      <c r="F684" s="1121">
        <f t="shared" si="217"/>
        <v>5.1000000000000004E-2</v>
      </c>
      <c r="G684" s="216">
        <f t="shared" si="218"/>
        <v>5.2999999999999999E-2</v>
      </c>
      <c r="H684" s="1115" t="str">
        <f t="shared" si="212"/>
        <v>5</v>
      </c>
      <c r="K684" s="1073"/>
      <c r="P684" s="324" t="str">
        <f t="shared" ref="P684:P698" si="219">S684&amp;IF(T684&lt;&gt;""," "&amp;T684,"")&amp;IF(U684&lt;&gt;""," "&amp;U684,"")&amp;IF(V684&lt;&gt;""," "&amp;V684,"")</f>
        <v>5.8 Blähperlit (EPB) [0,053]</v>
      </c>
      <c r="Q684" s="324"/>
      <c r="R684" s="338">
        <f t="shared" si="210"/>
        <v>5.2999999999999999E-2</v>
      </c>
      <c r="S684" s="330" t="str">
        <f t="shared" si="215"/>
        <v>5.8 Blähperlit (EPB)</v>
      </c>
      <c r="T684" s="339"/>
      <c r="U684" s="339" t="str">
        <f t="shared" si="211"/>
        <v>[0,053]</v>
      </c>
    </row>
    <row r="685" spans="2:21" hidden="1">
      <c r="D685" s="228" t="str">
        <f t="shared" si="216"/>
        <v>5.8 Blähperlit (EPB)</v>
      </c>
      <c r="F685" s="1121">
        <f t="shared" si="217"/>
        <v>5.2000000000000005E-2</v>
      </c>
      <c r="G685" s="216">
        <f t="shared" si="218"/>
        <v>5.3999999999999999E-2</v>
      </c>
      <c r="H685" s="1115" t="str">
        <f t="shared" si="212"/>
        <v>5</v>
      </c>
      <c r="K685" s="1073"/>
      <c r="P685" s="324" t="str">
        <f t="shared" si="219"/>
        <v>5.8 Blähperlit (EPB) [0,054]</v>
      </c>
      <c r="Q685" s="324"/>
      <c r="R685" s="338">
        <f t="shared" si="210"/>
        <v>5.3999999999999999E-2</v>
      </c>
      <c r="S685" s="330" t="str">
        <f t="shared" si="215"/>
        <v>5.8 Blähperlit (EPB)</v>
      </c>
      <c r="T685" s="339"/>
      <c r="U685" s="339" t="str">
        <f t="shared" si="211"/>
        <v>[0,054]</v>
      </c>
    </row>
    <row r="686" spans="2:21" hidden="1">
      <c r="D686" s="228" t="str">
        <f t="shared" si="216"/>
        <v>5.8 Blähperlit (EPB)</v>
      </c>
      <c r="F686" s="1121">
        <f t="shared" si="217"/>
        <v>5.3000000000000005E-2</v>
      </c>
      <c r="G686" s="216">
        <f t="shared" si="218"/>
        <v>5.5E-2</v>
      </c>
      <c r="H686" s="1115" t="str">
        <f t="shared" si="212"/>
        <v>5</v>
      </c>
      <c r="K686" s="1073"/>
      <c r="P686" s="324" t="str">
        <f t="shared" si="219"/>
        <v>5.8 Blähperlit (EPB) [0,055]</v>
      </c>
      <c r="Q686" s="324"/>
      <c r="R686" s="338">
        <f t="shared" si="210"/>
        <v>5.5E-2</v>
      </c>
      <c r="S686" s="330" t="str">
        <f t="shared" si="215"/>
        <v>5.8 Blähperlit (EPB)</v>
      </c>
      <c r="T686" s="339"/>
      <c r="U686" s="339" t="str">
        <f t="shared" si="211"/>
        <v>[0,055]</v>
      </c>
    </row>
    <row r="687" spans="2:21" hidden="1">
      <c r="D687" s="228" t="str">
        <f t="shared" si="216"/>
        <v>5.8 Blähperlit (EPB)</v>
      </c>
      <c r="F687" s="1121">
        <f t="shared" si="217"/>
        <v>5.4000000000000006E-2</v>
      </c>
      <c r="G687" s="216">
        <f t="shared" si="218"/>
        <v>5.6000000000000001E-2</v>
      </c>
      <c r="H687" s="1115" t="str">
        <f t="shared" si="212"/>
        <v>5</v>
      </c>
      <c r="K687" s="1073"/>
      <c r="P687" s="324" t="str">
        <f t="shared" si="219"/>
        <v>5.8 Blähperlit (EPB) [0,056]</v>
      </c>
      <c r="Q687" s="324"/>
      <c r="R687" s="338">
        <f t="shared" si="210"/>
        <v>5.6000000000000001E-2</v>
      </c>
      <c r="S687" s="330" t="str">
        <f t="shared" si="215"/>
        <v>5.8 Blähperlit (EPB)</v>
      </c>
      <c r="T687" s="339"/>
      <c r="U687" s="339" t="str">
        <f t="shared" si="211"/>
        <v>[0,056]</v>
      </c>
    </row>
    <row r="688" spans="2:21" hidden="1">
      <c r="D688" s="228" t="str">
        <f t="shared" si="216"/>
        <v>5.8 Blähperlit (EPB)</v>
      </c>
      <c r="F688" s="1121">
        <f t="shared" si="217"/>
        <v>5.5000000000000007E-2</v>
      </c>
      <c r="G688" s="216">
        <f t="shared" si="218"/>
        <v>5.7000000000000002E-2</v>
      </c>
      <c r="H688" s="1115" t="str">
        <f t="shared" si="212"/>
        <v>5</v>
      </c>
      <c r="K688" s="1073"/>
      <c r="P688" s="324" t="str">
        <f t="shared" si="219"/>
        <v>5.8 Blähperlit (EPB) [0,057]</v>
      </c>
      <c r="Q688" s="324"/>
      <c r="R688" s="338">
        <f t="shared" si="210"/>
        <v>5.7000000000000002E-2</v>
      </c>
      <c r="S688" s="330" t="str">
        <f t="shared" si="215"/>
        <v>5.8 Blähperlit (EPB)</v>
      </c>
      <c r="T688" s="339"/>
      <c r="U688" s="339" t="str">
        <f t="shared" si="211"/>
        <v>[0,057]</v>
      </c>
    </row>
    <row r="689" spans="2:21" hidden="1">
      <c r="D689" s="228" t="str">
        <f t="shared" si="216"/>
        <v>5.8 Blähperlit (EPB)</v>
      </c>
      <c r="F689" s="1121">
        <f t="shared" si="217"/>
        <v>5.6000000000000008E-2</v>
      </c>
      <c r="G689" s="216">
        <f t="shared" si="218"/>
        <v>5.8000000000000003E-2</v>
      </c>
      <c r="H689" s="1115" t="str">
        <f t="shared" si="212"/>
        <v>5</v>
      </c>
      <c r="K689" s="1073"/>
      <c r="P689" s="324" t="str">
        <f t="shared" si="219"/>
        <v>5.8 Blähperlit (EPB) [0,058]</v>
      </c>
      <c r="Q689" s="324"/>
      <c r="R689" s="338">
        <f t="shared" si="210"/>
        <v>5.8000000000000003E-2</v>
      </c>
      <c r="S689" s="330" t="str">
        <f t="shared" si="215"/>
        <v>5.8 Blähperlit (EPB)</v>
      </c>
      <c r="T689" s="339"/>
      <c r="U689" s="339" t="str">
        <f t="shared" si="211"/>
        <v>[0,058]</v>
      </c>
    </row>
    <row r="690" spans="2:21" hidden="1">
      <c r="D690" s="228" t="str">
        <f t="shared" si="216"/>
        <v>5.8 Blähperlit (EPB)</v>
      </c>
      <c r="F690" s="1121">
        <f t="shared" si="217"/>
        <v>5.7000000000000009E-2</v>
      </c>
      <c r="G690" s="216">
        <f t="shared" si="218"/>
        <v>5.9000000000000004E-2</v>
      </c>
      <c r="H690" s="1115" t="str">
        <f t="shared" si="212"/>
        <v>5</v>
      </c>
      <c r="K690" s="1073"/>
      <c r="P690" s="324" t="str">
        <f t="shared" si="219"/>
        <v>5.8 Blähperlit (EPB) [0,059]</v>
      </c>
      <c r="Q690" s="324"/>
      <c r="R690" s="338">
        <f t="shared" si="210"/>
        <v>5.9000000000000004E-2</v>
      </c>
      <c r="S690" s="330" t="str">
        <f t="shared" si="215"/>
        <v>5.8 Blähperlit (EPB)</v>
      </c>
      <c r="T690" s="339"/>
      <c r="U690" s="339" t="str">
        <f t="shared" si="211"/>
        <v>[0,059]</v>
      </c>
    </row>
    <row r="691" spans="2:21" hidden="1">
      <c r="D691" s="228" t="str">
        <f t="shared" si="216"/>
        <v>5.8 Blähperlit (EPB)</v>
      </c>
      <c r="F691" s="1121">
        <f t="shared" si="217"/>
        <v>5.800000000000001E-2</v>
      </c>
      <c r="G691" s="216">
        <f t="shared" si="218"/>
        <v>6.0000000000000005E-2</v>
      </c>
      <c r="H691" s="1115" t="str">
        <f t="shared" si="212"/>
        <v>5</v>
      </c>
      <c r="K691" s="1073"/>
      <c r="P691" s="324" t="str">
        <f t="shared" si="219"/>
        <v>5.8 Blähperlit (EPB) [0,06]</v>
      </c>
      <c r="Q691" s="324"/>
      <c r="R691" s="338">
        <f t="shared" si="210"/>
        <v>6.0000000000000005E-2</v>
      </c>
      <c r="S691" s="330" t="str">
        <f t="shared" si="215"/>
        <v>5.8 Blähperlit (EPB)</v>
      </c>
      <c r="T691" s="339"/>
      <c r="U691" s="339" t="str">
        <f t="shared" si="211"/>
        <v>[0,06]</v>
      </c>
    </row>
    <row r="692" spans="2:21" hidden="1">
      <c r="D692" s="228" t="str">
        <f t="shared" si="216"/>
        <v>5.8 Blähperlit (EPB)</v>
      </c>
      <c r="F692" s="1121">
        <f t="shared" si="217"/>
        <v>5.9000000000000011E-2</v>
      </c>
      <c r="G692" s="216">
        <f t="shared" si="218"/>
        <v>6.1000000000000006E-2</v>
      </c>
      <c r="H692" s="1115" t="str">
        <f t="shared" si="212"/>
        <v>5</v>
      </c>
      <c r="K692" s="1073"/>
      <c r="P692" s="324" t="str">
        <f t="shared" si="219"/>
        <v>5.8 Blähperlit (EPB) [0,061]</v>
      </c>
      <c r="Q692" s="324"/>
      <c r="R692" s="338">
        <f t="shared" si="210"/>
        <v>6.1000000000000006E-2</v>
      </c>
      <c r="S692" s="330" t="str">
        <f t="shared" si="215"/>
        <v>5.8 Blähperlit (EPB)</v>
      </c>
      <c r="T692" s="339"/>
      <c r="U692" s="339" t="str">
        <f t="shared" si="211"/>
        <v>[0,061]</v>
      </c>
    </row>
    <row r="693" spans="2:21" hidden="1">
      <c r="D693" s="228" t="str">
        <f t="shared" si="216"/>
        <v>5.8 Blähperlit (EPB)</v>
      </c>
      <c r="F693" s="1121">
        <f t="shared" si="217"/>
        <v>6.0000000000000012E-2</v>
      </c>
      <c r="G693" s="216">
        <f t="shared" si="218"/>
        <v>6.2000000000000006E-2</v>
      </c>
      <c r="H693" s="1115" t="str">
        <f t="shared" si="212"/>
        <v>5</v>
      </c>
      <c r="K693" s="1073"/>
      <c r="P693" s="324" t="str">
        <f t="shared" si="219"/>
        <v>5.8 Blähperlit (EPB) [0,062]</v>
      </c>
      <c r="Q693" s="324"/>
      <c r="R693" s="338">
        <f t="shared" si="210"/>
        <v>6.2000000000000006E-2</v>
      </c>
      <c r="S693" s="330" t="str">
        <f t="shared" si="215"/>
        <v>5.8 Blähperlit (EPB)</v>
      </c>
      <c r="T693" s="339"/>
      <c r="U693" s="339" t="str">
        <f t="shared" si="211"/>
        <v>[0,062]</v>
      </c>
    </row>
    <row r="694" spans="2:21" hidden="1">
      <c r="D694" s="228" t="str">
        <f t="shared" si="216"/>
        <v>5.8 Blähperlit (EPB)</v>
      </c>
      <c r="F694" s="1121">
        <f t="shared" si="217"/>
        <v>6.1000000000000013E-2</v>
      </c>
      <c r="G694" s="216">
        <f t="shared" si="218"/>
        <v>6.3E-2</v>
      </c>
      <c r="H694" s="1115" t="str">
        <f t="shared" si="212"/>
        <v>5</v>
      </c>
      <c r="K694" s="1073"/>
      <c r="P694" s="324" t="str">
        <f t="shared" si="219"/>
        <v>5.8 Blähperlit (EPB) [0,063]</v>
      </c>
      <c r="Q694" s="324"/>
      <c r="R694" s="338">
        <f t="shared" si="210"/>
        <v>6.3E-2</v>
      </c>
      <c r="S694" s="330" t="str">
        <f t="shared" si="215"/>
        <v>5.8 Blähperlit (EPB)</v>
      </c>
      <c r="T694" s="339"/>
      <c r="U694" s="339" t="str">
        <f t="shared" si="211"/>
        <v>[0,063]</v>
      </c>
    </row>
    <row r="695" spans="2:21" hidden="1">
      <c r="D695" s="228" t="str">
        <f t="shared" si="216"/>
        <v>5.8 Blähperlit (EPB)</v>
      </c>
      <c r="F695" s="1121">
        <f t="shared" si="217"/>
        <v>6.2000000000000013E-2</v>
      </c>
      <c r="G695" s="216">
        <f t="shared" si="218"/>
        <v>6.4000000000000001E-2</v>
      </c>
      <c r="H695" s="1115" t="str">
        <f t="shared" si="212"/>
        <v>5</v>
      </c>
      <c r="K695" s="1073"/>
      <c r="P695" s="324" t="str">
        <f t="shared" si="219"/>
        <v>5.8 Blähperlit (EPB) [0,064]</v>
      </c>
      <c r="Q695" s="324"/>
      <c r="R695" s="338">
        <f t="shared" si="210"/>
        <v>6.4000000000000001E-2</v>
      </c>
      <c r="S695" s="330" t="str">
        <f t="shared" si="215"/>
        <v>5.8 Blähperlit (EPB)</v>
      </c>
      <c r="T695" s="339"/>
      <c r="U695" s="339" t="str">
        <f t="shared" si="211"/>
        <v>[0,064]</v>
      </c>
    </row>
    <row r="696" spans="2:21" hidden="1">
      <c r="D696" s="228" t="str">
        <f t="shared" si="216"/>
        <v>5.8 Blähperlit (EPB)</v>
      </c>
      <c r="F696" s="1121">
        <f t="shared" si="217"/>
        <v>6.3000000000000014E-2</v>
      </c>
      <c r="G696" s="216">
        <f t="shared" si="218"/>
        <v>6.5000000000000002E-2</v>
      </c>
      <c r="H696" s="1115" t="str">
        <f t="shared" si="212"/>
        <v>5</v>
      </c>
      <c r="K696" s="1073"/>
      <c r="P696" s="324" t="str">
        <f t="shared" si="219"/>
        <v>5.8 Blähperlit (EPB) [0,065]</v>
      </c>
      <c r="Q696" s="324"/>
      <c r="R696" s="338">
        <f t="shared" si="210"/>
        <v>6.5000000000000002E-2</v>
      </c>
      <c r="S696" s="330" t="str">
        <f t="shared" si="215"/>
        <v>5.8 Blähperlit (EPB)</v>
      </c>
      <c r="T696" s="339"/>
      <c r="U696" s="339" t="str">
        <f t="shared" si="211"/>
        <v>[0,065]</v>
      </c>
    </row>
    <row r="697" spans="2:21" hidden="1">
      <c r="D697" s="228" t="str">
        <f t="shared" si="216"/>
        <v>5.8 Blähperlit (EPB)</v>
      </c>
      <c r="F697" s="1121">
        <f t="shared" si="217"/>
        <v>6.4000000000000015E-2</v>
      </c>
      <c r="G697" s="216">
        <f t="shared" si="218"/>
        <v>6.6000000000000003E-2</v>
      </c>
      <c r="H697" s="1115" t="str">
        <f t="shared" si="212"/>
        <v>5</v>
      </c>
      <c r="K697" s="1073"/>
      <c r="P697" s="324" t="str">
        <f t="shared" si="219"/>
        <v>5.8 Blähperlit (EPB) [0,066]</v>
      </c>
      <c r="Q697" s="324"/>
      <c r="R697" s="338">
        <f t="shared" si="210"/>
        <v>6.6000000000000003E-2</v>
      </c>
      <c r="S697" s="330" t="str">
        <f t="shared" si="215"/>
        <v>5.8 Blähperlit (EPB)</v>
      </c>
      <c r="T697" s="339"/>
      <c r="U697" s="339" t="str">
        <f t="shared" si="211"/>
        <v>[0,066]</v>
      </c>
    </row>
    <row r="698" spans="2:21" hidden="1">
      <c r="D698" s="228" t="str">
        <f t="shared" si="216"/>
        <v>5.8 Blähperlit (EPB)</v>
      </c>
      <c r="F698" s="1121">
        <f t="shared" si="217"/>
        <v>6.5000000000000016E-2</v>
      </c>
      <c r="G698" s="216">
        <f t="shared" si="218"/>
        <v>6.7000000000000004E-2</v>
      </c>
      <c r="H698" s="1115" t="str">
        <f t="shared" si="212"/>
        <v>5</v>
      </c>
      <c r="K698" s="1073"/>
      <c r="O698" s="324" t="str">
        <f t="shared" ref="O698:O710" si="220">IF(AND(B698&gt;0,B698,LEFT(B698,1)&lt;&gt;" "),B698,"")</f>
        <v/>
      </c>
      <c r="P698" s="324" t="str">
        <f t="shared" si="219"/>
        <v>5.8 Blähperlit (EPB) [0,067]</v>
      </c>
      <c r="Q698" s="324"/>
      <c r="R698" s="338">
        <f t="shared" si="210"/>
        <v>6.7000000000000004E-2</v>
      </c>
      <c r="S698" s="330" t="str">
        <f t="shared" si="215"/>
        <v>5.8 Blähperlit (EPB)</v>
      </c>
      <c r="T698" s="339"/>
      <c r="U698" s="339" t="str">
        <f t="shared" si="211"/>
        <v>[0,067]</v>
      </c>
    </row>
    <row r="699" spans="2:21" hidden="1">
      <c r="D699" s="228" t="str">
        <f t="shared" si="216"/>
        <v>5.8 Blähperlit (EPB)</v>
      </c>
      <c r="F699" s="1121">
        <f>F698+0.001</f>
        <v>6.6000000000000017E-2</v>
      </c>
      <c r="G699" s="216">
        <f t="shared" si="218"/>
        <v>6.8000000000000005E-2</v>
      </c>
      <c r="H699" s="1115" t="str">
        <f t="shared" si="212"/>
        <v>5</v>
      </c>
      <c r="K699" s="1073"/>
      <c r="O699" s="324" t="str">
        <f t="shared" ref="O699:O703" si="221">IF(AND(B699&gt;0,B699,LEFT(B699,1)&lt;&gt;" "),B699,"")</f>
        <v/>
      </c>
      <c r="P699" s="324" t="str">
        <f t="shared" ref="P699:P703" si="222">S699&amp;IF(T699&lt;&gt;""," "&amp;T699,"")&amp;IF(U699&lt;&gt;""," "&amp;U699,"")&amp;IF(V699&lt;&gt;""," "&amp;V699,"")</f>
        <v>5.8 Blähperlit (EPB) [0,068]</v>
      </c>
      <c r="Q699" s="324"/>
      <c r="R699" s="338">
        <f t="shared" ref="R699:R703" si="223">G699</f>
        <v>6.8000000000000005E-2</v>
      </c>
      <c r="S699" s="330" t="str">
        <f t="shared" ref="S699:S703" si="224">D699</f>
        <v>5.8 Blähperlit (EPB)</v>
      </c>
      <c r="T699" s="339"/>
      <c r="U699" s="339" t="str">
        <f t="shared" ref="U699:U703" si="225">IF(G699&gt;0,"["&amp;G699&amp;"]","")</f>
        <v>[0,068]</v>
      </c>
    </row>
    <row r="700" spans="2:21" hidden="1">
      <c r="D700" s="228" t="str">
        <f t="shared" si="216"/>
        <v>5.8 Blähperlit (EPB)</v>
      </c>
      <c r="F700" s="1121">
        <f t="shared" ref="F700:F703" si="226">F699+0.001</f>
        <v>6.7000000000000018E-2</v>
      </c>
      <c r="G700" s="216">
        <f t="shared" si="218"/>
        <v>6.9000000000000006E-2</v>
      </c>
      <c r="H700" s="1115" t="str">
        <f t="shared" si="212"/>
        <v>5</v>
      </c>
      <c r="K700" s="1073"/>
      <c r="O700" s="324" t="str">
        <f t="shared" si="221"/>
        <v/>
      </c>
      <c r="P700" s="324" t="str">
        <f t="shared" si="222"/>
        <v>5.8 Blähperlit (EPB) [0,069]</v>
      </c>
      <c r="Q700" s="324"/>
      <c r="R700" s="338">
        <f t="shared" si="223"/>
        <v>6.9000000000000006E-2</v>
      </c>
      <c r="S700" s="330" t="str">
        <f t="shared" si="224"/>
        <v>5.8 Blähperlit (EPB)</v>
      </c>
      <c r="T700" s="339"/>
      <c r="U700" s="339" t="str">
        <f t="shared" si="225"/>
        <v>[0,069]</v>
      </c>
    </row>
    <row r="701" spans="2:21" hidden="1">
      <c r="D701" s="228" t="str">
        <f t="shared" si="216"/>
        <v>5.8 Blähperlit (EPB)</v>
      </c>
      <c r="F701" s="1121">
        <f t="shared" si="226"/>
        <v>6.8000000000000019E-2</v>
      </c>
      <c r="G701" s="216">
        <f t="shared" si="218"/>
        <v>7.0000000000000007E-2</v>
      </c>
      <c r="H701" s="1115" t="str">
        <f t="shared" si="212"/>
        <v>5</v>
      </c>
      <c r="K701" s="1073"/>
      <c r="O701" s="324" t="str">
        <f t="shared" si="221"/>
        <v/>
      </c>
      <c r="P701" s="324" t="str">
        <f t="shared" si="222"/>
        <v>5.8 Blähperlit (EPB) [0,07]</v>
      </c>
      <c r="Q701" s="324"/>
      <c r="R701" s="338">
        <f t="shared" si="223"/>
        <v>7.0000000000000007E-2</v>
      </c>
      <c r="S701" s="330" t="str">
        <f t="shared" si="224"/>
        <v>5.8 Blähperlit (EPB)</v>
      </c>
      <c r="T701" s="339"/>
      <c r="U701" s="339" t="str">
        <f t="shared" si="225"/>
        <v>[0,07]</v>
      </c>
    </row>
    <row r="702" spans="2:21" hidden="1">
      <c r="D702" s="228" t="str">
        <f t="shared" si="216"/>
        <v>5.8 Blähperlit (EPB)</v>
      </c>
      <c r="F702" s="1121">
        <f t="shared" si="226"/>
        <v>6.900000000000002E-2</v>
      </c>
      <c r="G702" s="216">
        <f t="shared" si="218"/>
        <v>7.1000000000000008E-2</v>
      </c>
      <c r="H702" s="1115" t="str">
        <f t="shared" si="212"/>
        <v>5</v>
      </c>
      <c r="K702" s="1073"/>
      <c r="O702" s="324" t="str">
        <f t="shared" si="221"/>
        <v/>
      </c>
      <c r="P702" s="324" t="str">
        <f t="shared" si="222"/>
        <v>5.8 Blähperlit (EPB) [0,071]</v>
      </c>
      <c r="Q702" s="324"/>
      <c r="R702" s="338">
        <f t="shared" si="223"/>
        <v>7.1000000000000008E-2</v>
      </c>
      <c r="S702" s="330" t="str">
        <f t="shared" si="224"/>
        <v>5.8 Blähperlit (EPB)</v>
      </c>
      <c r="T702" s="339"/>
      <c r="U702" s="339" t="str">
        <f t="shared" si="225"/>
        <v>[0,071]</v>
      </c>
    </row>
    <row r="703" spans="2:21" hidden="1">
      <c r="D703" s="228" t="str">
        <f t="shared" si="216"/>
        <v>5.8 Blähperlit (EPB)</v>
      </c>
      <c r="F703" s="1121">
        <f t="shared" si="226"/>
        <v>7.0000000000000021E-2</v>
      </c>
      <c r="G703" s="213">
        <f t="shared" si="218"/>
        <v>7.2000000000000008E-2</v>
      </c>
      <c r="H703" s="1115" t="str">
        <f t="shared" si="212"/>
        <v>5</v>
      </c>
      <c r="K703" s="1073"/>
      <c r="O703" s="324" t="str">
        <f t="shared" si="221"/>
        <v/>
      </c>
      <c r="P703" s="324" t="str">
        <f t="shared" si="222"/>
        <v>5.8 Blähperlit (EPB) [0,072]</v>
      </c>
      <c r="Q703" s="324"/>
      <c r="R703" s="338">
        <f t="shared" si="223"/>
        <v>7.2000000000000008E-2</v>
      </c>
      <c r="S703" s="330" t="str">
        <f t="shared" si="224"/>
        <v>5.8 Blähperlit (EPB)</v>
      </c>
      <c r="T703" s="339"/>
      <c r="U703" s="339" t="str">
        <f t="shared" si="225"/>
        <v>[0,072]</v>
      </c>
    </row>
    <row r="704" spans="2:21" hidden="1">
      <c r="B704" s="213" t="s">
        <v>1478</v>
      </c>
      <c r="D704" s="213" t="s">
        <v>1857</v>
      </c>
      <c r="F704" s="1121">
        <v>3.7999999999999999E-2</v>
      </c>
      <c r="G704" s="216">
        <f>ROUND(F704*1.05,3)</f>
        <v>0.04</v>
      </c>
      <c r="H704" s="1122" t="s">
        <v>1480</v>
      </c>
      <c r="I704" s="213" t="s">
        <v>803</v>
      </c>
      <c r="K704" s="1073" t="s">
        <v>3451</v>
      </c>
      <c r="O704" s="324" t="str">
        <f t="shared" si="220"/>
        <v>5.9 Expandierter Kork</v>
      </c>
      <c r="P704" s="324" t="str">
        <f t="shared" ref="P704:P710" si="227">S704&amp;IF(T704&lt;&gt;""," "&amp;T704,"")&amp;IF(U704&lt;&gt;""," "&amp;U704,"")&amp;IF(V704&lt;&gt;""," "&amp;V704,"")</f>
        <v>5.9 Expandierter Kork (ICB) [0,04]</v>
      </c>
      <c r="Q704" s="324"/>
      <c r="R704" s="338">
        <f t="shared" si="210"/>
        <v>0.04</v>
      </c>
      <c r="S704" s="330" t="str">
        <f t="shared" si="215"/>
        <v>5.9 Expandierter Kork (ICB)</v>
      </c>
      <c r="T704" s="339"/>
      <c r="U704" s="339" t="str">
        <f t="shared" si="211"/>
        <v>[0,04]</v>
      </c>
    </row>
    <row r="705" spans="2:21" ht="12" hidden="1" customHeight="1">
      <c r="B705" s="1353" t="s">
        <v>1860</v>
      </c>
      <c r="C705" s="1353"/>
      <c r="D705" s="228" t="str">
        <f t="shared" ref="D705:D721" si="228">D704</f>
        <v>5.9 Expandierter Kork (ICB)</v>
      </c>
      <c r="F705" s="1121">
        <f t="shared" ref="F705:F719" si="229">F704+0.001</f>
        <v>3.9E-2</v>
      </c>
      <c r="G705" s="216">
        <f t="shared" ref="G705:G721" si="230">ROUND(F705*1.05,3)</f>
        <v>4.1000000000000002E-2</v>
      </c>
      <c r="H705" s="1115" t="str">
        <f t="shared" si="212"/>
        <v>5/10</v>
      </c>
      <c r="K705" s="1073"/>
      <c r="O705" s="324" t="str">
        <f t="shared" si="220"/>
        <v/>
      </c>
      <c r="P705" s="324" t="str">
        <f t="shared" si="227"/>
        <v>5.9 Expandierter Kork (ICB) [0,041]</v>
      </c>
      <c r="Q705" s="324"/>
      <c r="R705" s="338">
        <f t="shared" si="210"/>
        <v>4.1000000000000002E-2</v>
      </c>
      <c r="S705" s="330" t="str">
        <f t="shared" si="215"/>
        <v>5.9 Expandierter Kork (ICB)</v>
      </c>
      <c r="T705" s="339"/>
      <c r="U705" s="339" t="str">
        <f t="shared" si="211"/>
        <v>[0,041]</v>
      </c>
    </row>
    <row r="706" spans="2:21" hidden="1">
      <c r="B706" s="1353"/>
      <c r="C706" s="1353"/>
      <c r="D706" s="228" t="str">
        <f t="shared" si="228"/>
        <v>5.9 Expandierter Kork (ICB)</v>
      </c>
      <c r="F706" s="1121">
        <f t="shared" si="229"/>
        <v>0.04</v>
      </c>
      <c r="G706" s="216">
        <f t="shared" si="230"/>
        <v>4.2000000000000003E-2</v>
      </c>
      <c r="H706" s="1115" t="str">
        <f t="shared" si="212"/>
        <v>5/10</v>
      </c>
      <c r="K706" s="1073"/>
      <c r="O706" s="324" t="str">
        <f t="shared" si="220"/>
        <v/>
      </c>
      <c r="P706" s="324" t="str">
        <f t="shared" si="227"/>
        <v>5.9 Expandierter Kork (ICB) [0,042]</v>
      </c>
      <c r="Q706" s="324"/>
      <c r="R706" s="338">
        <f t="shared" si="210"/>
        <v>4.2000000000000003E-2</v>
      </c>
      <c r="S706" s="330" t="str">
        <f t="shared" si="215"/>
        <v>5.9 Expandierter Kork (ICB)</v>
      </c>
      <c r="T706" s="339"/>
      <c r="U706" s="339" t="str">
        <f t="shared" si="211"/>
        <v>[0,042]</v>
      </c>
    </row>
    <row r="707" spans="2:21" hidden="1">
      <c r="D707" s="228" t="str">
        <f t="shared" si="228"/>
        <v>5.9 Expandierter Kork (ICB)</v>
      </c>
      <c r="F707" s="1121">
        <f t="shared" si="229"/>
        <v>4.1000000000000002E-2</v>
      </c>
      <c r="G707" s="216">
        <f t="shared" si="230"/>
        <v>4.2999999999999997E-2</v>
      </c>
      <c r="H707" s="1115" t="str">
        <f t="shared" si="212"/>
        <v>5/10</v>
      </c>
      <c r="K707" s="1073"/>
      <c r="O707" s="324" t="str">
        <f t="shared" si="220"/>
        <v/>
      </c>
      <c r="P707" s="324" t="str">
        <f t="shared" si="227"/>
        <v>5.9 Expandierter Kork (ICB) [0,043]</v>
      </c>
      <c r="Q707" s="324"/>
      <c r="R707" s="338">
        <f t="shared" si="210"/>
        <v>4.2999999999999997E-2</v>
      </c>
      <c r="S707" s="330" t="str">
        <f t="shared" si="215"/>
        <v>5.9 Expandierter Kork (ICB)</v>
      </c>
      <c r="T707" s="339"/>
      <c r="U707" s="339" t="str">
        <f t="shared" si="211"/>
        <v>[0,043]</v>
      </c>
    </row>
    <row r="708" spans="2:21" hidden="1">
      <c r="D708" s="228" t="str">
        <f t="shared" si="228"/>
        <v>5.9 Expandierter Kork (ICB)</v>
      </c>
      <c r="F708" s="1121">
        <f t="shared" si="229"/>
        <v>4.2000000000000003E-2</v>
      </c>
      <c r="G708" s="216">
        <f t="shared" si="230"/>
        <v>4.3999999999999997E-2</v>
      </c>
      <c r="H708" s="1115" t="str">
        <f t="shared" si="212"/>
        <v>5/10</v>
      </c>
      <c r="K708" s="1073"/>
      <c r="O708" s="324" t="str">
        <f t="shared" si="220"/>
        <v/>
      </c>
      <c r="P708" s="324" t="str">
        <f t="shared" si="227"/>
        <v>5.9 Expandierter Kork (ICB) [0,044]</v>
      </c>
      <c r="Q708" s="324"/>
      <c r="R708" s="338">
        <f t="shared" si="210"/>
        <v>4.3999999999999997E-2</v>
      </c>
      <c r="S708" s="330" t="str">
        <f t="shared" si="215"/>
        <v>5.9 Expandierter Kork (ICB)</v>
      </c>
      <c r="T708" s="339"/>
      <c r="U708" s="339" t="str">
        <f t="shared" si="211"/>
        <v>[0,044]</v>
      </c>
    </row>
    <row r="709" spans="2:21" hidden="1">
      <c r="D709" s="228" t="str">
        <f t="shared" si="228"/>
        <v>5.9 Expandierter Kork (ICB)</v>
      </c>
      <c r="F709" s="1121">
        <f t="shared" si="229"/>
        <v>4.3000000000000003E-2</v>
      </c>
      <c r="G709" s="216">
        <f t="shared" si="230"/>
        <v>4.4999999999999998E-2</v>
      </c>
      <c r="H709" s="1115" t="str">
        <f t="shared" si="212"/>
        <v>5/10</v>
      </c>
      <c r="K709" s="1073"/>
      <c r="O709" s="324" t="str">
        <f t="shared" si="220"/>
        <v/>
      </c>
      <c r="P709" s="324" t="str">
        <f t="shared" si="227"/>
        <v>5.9 Expandierter Kork (ICB) [0,045]</v>
      </c>
      <c r="Q709" s="324"/>
      <c r="R709" s="338">
        <f t="shared" si="210"/>
        <v>4.4999999999999998E-2</v>
      </c>
      <c r="S709" s="330" t="str">
        <f t="shared" si="215"/>
        <v>5.9 Expandierter Kork (ICB)</v>
      </c>
      <c r="T709" s="339"/>
      <c r="U709" s="339" t="str">
        <f t="shared" si="211"/>
        <v>[0,045]</v>
      </c>
    </row>
    <row r="710" spans="2:21" hidden="1">
      <c r="D710" s="228" t="str">
        <f t="shared" si="228"/>
        <v>5.9 Expandierter Kork (ICB)</v>
      </c>
      <c r="F710" s="1121">
        <f t="shared" si="229"/>
        <v>4.4000000000000004E-2</v>
      </c>
      <c r="G710" s="216">
        <f t="shared" si="230"/>
        <v>4.5999999999999999E-2</v>
      </c>
      <c r="H710" s="1115" t="str">
        <f t="shared" si="212"/>
        <v>5/10</v>
      </c>
      <c r="K710" s="1073"/>
      <c r="O710" s="324" t="str">
        <f t="shared" si="220"/>
        <v/>
      </c>
      <c r="P710" s="324" t="str">
        <f t="shared" si="227"/>
        <v>5.9 Expandierter Kork (ICB) [0,046]</v>
      </c>
      <c r="Q710" s="324"/>
      <c r="R710" s="338">
        <f t="shared" si="210"/>
        <v>4.5999999999999999E-2</v>
      </c>
      <c r="S710" s="330" t="str">
        <f t="shared" ref="S710:S743" si="231">D710</f>
        <v>5.9 Expandierter Kork (ICB)</v>
      </c>
      <c r="T710" s="339"/>
      <c r="U710" s="339" t="str">
        <f t="shared" si="211"/>
        <v>[0,046]</v>
      </c>
    </row>
    <row r="711" spans="2:21" hidden="1">
      <c r="D711" s="228" t="str">
        <f t="shared" si="228"/>
        <v>5.9 Expandierter Kork (ICB)</v>
      </c>
      <c r="F711" s="1121">
        <f t="shared" si="229"/>
        <v>4.5000000000000005E-2</v>
      </c>
      <c r="G711" s="216">
        <f t="shared" si="230"/>
        <v>4.7E-2</v>
      </c>
      <c r="H711" s="1115" t="str">
        <f t="shared" si="212"/>
        <v>5/10</v>
      </c>
      <c r="K711" s="1073"/>
      <c r="P711" s="324" t="str">
        <f t="shared" ref="P711:P718" si="232">S711&amp;IF(T711&lt;&gt;""," "&amp;T711,"")&amp;IF(U711&lt;&gt;""," "&amp;U711,"")&amp;IF(V711&lt;&gt;""," "&amp;V711,"")</f>
        <v>5.9 Expandierter Kork (ICB) [0,047]</v>
      </c>
      <c r="Q711" s="324"/>
      <c r="R711" s="338">
        <f t="shared" si="210"/>
        <v>4.7E-2</v>
      </c>
      <c r="S711" s="330" t="str">
        <f t="shared" si="231"/>
        <v>5.9 Expandierter Kork (ICB)</v>
      </c>
      <c r="T711" s="339"/>
      <c r="U711" s="339" t="str">
        <f t="shared" si="211"/>
        <v>[0,047]</v>
      </c>
    </row>
    <row r="712" spans="2:21" hidden="1">
      <c r="D712" s="228" t="str">
        <f t="shared" si="228"/>
        <v>5.9 Expandierter Kork (ICB)</v>
      </c>
      <c r="F712" s="1121">
        <f t="shared" si="229"/>
        <v>4.6000000000000006E-2</v>
      </c>
      <c r="G712" s="216">
        <f t="shared" si="230"/>
        <v>4.8000000000000001E-2</v>
      </c>
      <c r="H712" s="1115" t="str">
        <f t="shared" si="212"/>
        <v>5/10</v>
      </c>
      <c r="K712" s="1073"/>
      <c r="P712" s="324" t="str">
        <f t="shared" si="232"/>
        <v>5.9 Expandierter Kork (ICB) [0,048]</v>
      </c>
      <c r="Q712" s="324"/>
      <c r="R712" s="338">
        <f t="shared" si="210"/>
        <v>4.8000000000000001E-2</v>
      </c>
      <c r="S712" s="330" t="str">
        <f t="shared" si="231"/>
        <v>5.9 Expandierter Kork (ICB)</v>
      </c>
      <c r="T712" s="339"/>
      <c r="U712" s="339" t="str">
        <f t="shared" si="211"/>
        <v>[0,048]</v>
      </c>
    </row>
    <row r="713" spans="2:21" hidden="1">
      <c r="D713" s="228" t="str">
        <f t="shared" si="228"/>
        <v>5.9 Expandierter Kork (ICB)</v>
      </c>
      <c r="F713" s="1121">
        <f t="shared" si="229"/>
        <v>4.7000000000000007E-2</v>
      </c>
      <c r="G713" s="216">
        <f t="shared" si="230"/>
        <v>4.9000000000000002E-2</v>
      </c>
      <c r="H713" s="1115" t="str">
        <f t="shared" si="212"/>
        <v>5/10</v>
      </c>
      <c r="K713" s="1073"/>
      <c r="P713" s="324" t="str">
        <f t="shared" si="232"/>
        <v>5.9 Expandierter Kork (ICB) [0,049]</v>
      </c>
      <c r="Q713" s="324"/>
      <c r="R713" s="338">
        <f t="shared" si="210"/>
        <v>4.9000000000000002E-2</v>
      </c>
      <c r="S713" s="330" t="str">
        <f t="shared" si="231"/>
        <v>5.9 Expandierter Kork (ICB)</v>
      </c>
      <c r="T713" s="339"/>
      <c r="U713" s="339" t="str">
        <f t="shared" si="211"/>
        <v>[0,049]</v>
      </c>
    </row>
    <row r="714" spans="2:21" hidden="1">
      <c r="D714" s="228" t="str">
        <f t="shared" si="228"/>
        <v>5.9 Expandierter Kork (ICB)</v>
      </c>
      <c r="F714" s="1121">
        <f t="shared" si="229"/>
        <v>4.8000000000000008E-2</v>
      </c>
      <c r="G714" s="216">
        <f t="shared" si="230"/>
        <v>0.05</v>
      </c>
      <c r="H714" s="1115" t="str">
        <f t="shared" si="212"/>
        <v>5/10</v>
      </c>
      <c r="K714" s="1073"/>
      <c r="P714" s="324" t="str">
        <f t="shared" si="232"/>
        <v>5.9 Expandierter Kork (ICB) [0,05]</v>
      </c>
      <c r="Q714" s="324"/>
      <c r="R714" s="338">
        <f t="shared" si="210"/>
        <v>0.05</v>
      </c>
      <c r="S714" s="330" t="str">
        <f t="shared" si="231"/>
        <v>5.9 Expandierter Kork (ICB)</v>
      </c>
      <c r="T714" s="339"/>
      <c r="U714" s="339" t="str">
        <f t="shared" si="211"/>
        <v>[0,05]</v>
      </c>
    </row>
    <row r="715" spans="2:21" hidden="1">
      <c r="D715" s="228" t="str">
        <f t="shared" si="228"/>
        <v>5.9 Expandierter Kork (ICB)</v>
      </c>
      <c r="F715" s="1121">
        <f t="shared" si="229"/>
        <v>4.9000000000000009E-2</v>
      </c>
      <c r="G715" s="216">
        <f t="shared" si="230"/>
        <v>5.0999999999999997E-2</v>
      </c>
      <c r="H715" s="1115" t="str">
        <f t="shared" si="212"/>
        <v>5/10</v>
      </c>
      <c r="K715" s="1073"/>
      <c r="P715" s="324" t="str">
        <f t="shared" si="232"/>
        <v>5.9 Expandierter Kork (ICB) [0,051]</v>
      </c>
      <c r="Q715" s="324"/>
      <c r="R715" s="338">
        <f t="shared" si="210"/>
        <v>5.0999999999999997E-2</v>
      </c>
      <c r="S715" s="330" t="str">
        <f t="shared" si="231"/>
        <v>5.9 Expandierter Kork (ICB)</v>
      </c>
      <c r="T715" s="339"/>
      <c r="U715" s="339" t="str">
        <f t="shared" si="211"/>
        <v>[0,051]</v>
      </c>
    </row>
    <row r="716" spans="2:21" hidden="1">
      <c r="D716" s="228" t="str">
        <f t="shared" si="228"/>
        <v>5.9 Expandierter Kork (ICB)</v>
      </c>
      <c r="F716" s="1121">
        <f t="shared" si="229"/>
        <v>5.000000000000001E-2</v>
      </c>
      <c r="G716" s="216">
        <f t="shared" si="230"/>
        <v>5.2999999999999999E-2</v>
      </c>
      <c r="H716" s="1115" t="str">
        <f t="shared" si="212"/>
        <v>5/10</v>
      </c>
      <c r="K716" s="1073"/>
      <c r="P716" s="324" t="str">
        <f t="shared" si="232"/>
        <v>5.9 Expandierter Kork (ICB) [0,053]</v>
      </c>
      <c r="Q716" s="324"/>
      <c r="R716" s="338">
        <f t="shared" si="210"/>
        <v>5.2999999999999999E-2</v>
      </c>
      <c r="S716" s="330" t="str">
        <f t="shared" si="231"/>
        <v>5.9 Expandierter Kork (ICB)</v>
      </c>
      <c r="T716" s="339"/>
      <c r="U716" s="339" t="str">
        <f t="shared" si="211"/>
        <v>[0,053]</v>
      </c>
    </row>
    <row r="717" spans="2:21" hidden="1">
      <c r="D717" s="228" t="str">
        <f t="shared" si="228"/>
        <v>5.9 Expandierter Kork (ICB)</v>
      </c>
      <c r="F717" s="1121">
        <f t="shared" si="229"/>
        <v>5.1000000000000011E-2</v>
      </c>
      <c r="G717" s="216">
        <f t="shared" si="230"/>
        <v>5.3999999999999999E-2</v>
      </c>
      <c r="H717" s="1115" t="str">
        <f t="shared" si="212"/>
        <v>5/10</v>
      </c>
      <c r="K717" s="1073"/>
      <c r="P717" s="324" t="str">
        <f t="shared" si="232"/>
        <v>5.9 Expandierter Kork (ICB) [0,054]</v>
      </c>
      <c r="Q717" s="324"/>
      <c r="R717" s="338">
        <f t="shared" si="210"/>
        <v>5.3999999999999999E-2</v>
      </c>
      <c r="S717" s="330" t="str">
        <f t="shared" si="231"/>
        <v>5.9 Expandierter Kork (ICB)</v>
      </c>
      <c r="T717" s="339"/>
      <c r="U717" s="339" t="str">
        <f t="shared" si="211"/>
        <v>[0,054]</v>
      </c>
    </row>
    <row r="718" spans="2:21" hidden="1">
      <c r="D718" s="228" t="str">
        <f t="shared" si="228"/>
        <v>5.9 Expandierter Kork (ICB)</v>
      </c>
      <c r="F718" s="1121">
        <f t="shared" si="229"/>
        <v>5.2000000000000011E-2</v>
      </c>
      <c r="G718" s="216">
        <f t="shared" si="230"/>
        <v>5.5E-2</v>
      </c>
      <c r="H718" s="1115" t="str">
        <f t="shared" si="212"/>
        <v>5/10</v>
      </c>
      <c r="K718" s="1073"/>
      <c r="P718" s="324" t="str">
        <f t="shared" si="232"/>
        <v>5.9 Expandierter Kork (ICB) [0,055]</v>
      </c>
      <c r="Q718" s="324"/>
      <c r="R718" s="338">
        <f t="shared" si="210"/>
        <v>5.5E-2</v>
      </c>
      <c r="S718" s="330" t="str">
        <f t="shared" si="231"/>
        <v>5.9 Expandierter Kork (ICB)</v>
      </c>
      <c r="T718" s="339"/>
      <c r="U718" s="339" t="str">
        <f t="shared" si="211"/>
        <v>[0,055]</v>
      </c>
    </row>
    <row r="719" spans="2:21" hidden="1">
      <c r="D719" s="228" t="str">
        <f t="shared" si="228"/>
        <v>5.9 Expandierter Kork (ICB)</v>
      </c>
      <c r="F719" s="1121">
        <f t="shared" si="229"/>
        <v>5.3000000000000012E-2</v>
      </c>
      <c r="G719" s="216">
        <f t="shared" si="230"/>
        <v>5.6000000000000001E-2</v>
      </c>
      <c r="H719" s="1115" t="str">
        <f t="shared" si="212"/>
        <v>5/10</v>
      </c>
      <c r="K719" s="1073"/>
      <c r="O719" s="324" t="str">
        <f t="shared" ref="O719:O730" si="233">IF(AND(B719&gt;0,B719,LEFT(B719,1)&lt;&gt;" "),B719,"")</f>
        <v/>
      </c>
      <c r="P719" s="324" t="str">
        <f t="shared" ref="P719:P730" si="234">S719&amp;IF(T719&lt;&gt;""," "&amp;T719,"")&amp;IF(U719&lt;&gt;""," "&amp;U719,"")&amp;IF(V719&lt;&gt;""," "&amp;V719,"")</f>
        <v>5.9 Expandierter Kork (ICB) [0,056]</v>
      </c>
      <c r="Q719" s="324"/>
      <c r="R719" s="338">
        <f t="shared" si="210"/>
        <v>5.6000000000000001E-2</v>
      </c>
      <c r="S719" s="330" t="str">
        <f t="shared" si="231"/>
        <v>5.9 Expandierter Kork (ICB)</v>
      </c>
      <c r="T719" s="339"/>
      <c r="U719" s="339" t="str">
        <f t="shared" si="211"/>
        <v>[0,056]</v>
      </c>
    </row>
    <row r="720" spans="2:21" hidden="1">
      <c r="D720" s="228" t="str">
        <f t="shared" si="228"/>
        <v>5.9 Expandierter Kork (ICB)</v>
      </c>
      <c r="F720" s="1121">
        <f t="shared" ref="F720:F721" si="235">F719+0.001</f>
        <v>5.4000000000000013E-2</v>
      </c>
      <c r="G720" s="216">
        <f t="shared" si="230"/>
        <v>5.7000000000000002E-2</v>
      </c>
      <c r="H720" s="1115" t="str">
        <f t="shared" si="212"/>
        <v>5/10</v>
      </c>
      <c r="K720" s="1073"/>
      <c r="O720" s="324" t="str">
        <f t="shared" ref="O720:O721" si="236">IF(AND(B720&gt;0,B720,LEFT(B720,1)&lt;&gt;" "),B720,"")</f>
        <v/>
      </c>
      <c r="P720" s="324" t="str">
        <f t="shared" ref="P720:P721" si="237">S720&amp;IF(T720&lt;&gt;""," "&amp;T720,"")&amp;IF(U720&lt;&gt;""," "&amp;U720,"")&amp;IF(V720&lt;&gt;""," "&amp;V720,"")</f>
        <v>5.9 Expandierter Kork (ICB) [0,057]</v>
      </c>
      <c r="Q720" s="324"/>
      <c r="R720" s="338">
        <f t="shared" ref="R720:R721" si="238">G720</f>
        <v>5.7000000000000002E-2</v>
      </c>
      <c r="S720" s="330" t="str">
        <f t="shared" ref="S720:S721" si="239">D720</f>
        <v>5.9 Expandierter Kork (ICB)</v>
      </c>
      <c r="T720" s="339"/>
      <c r="U720" s="339" t="str">
        <f t="shared" ref="U720:U721" si="240">IF(G720&gt;0,"["&amp;G720&amp;"]","")</f>
        <v>[0,057]</v>
      </c>
    </row>
    <row r="721" spans="2:21" hidden="1">
      <c r="D721" s="228" t="str">
        <f t="shared" si="228"/>
        <v>5.9 Expandierter Kork (ICB)</v>
      </c>
      <c r="F721" s="1121">
        <f t="shared" si="235"/>
        <v>5.5000000000000014E-2</v>
      </c>
      <c r="G721" s="216">
        <f t="shared" si="230"/>
        <v>5.8000000000000003E-2</v>
      </c>
      <c r="H721" s="1115" t="str">
        <f t="shared" si="212"/>
        <v>5/10</v>
      </c>
      <c r="K721" s="1073"/>
      <c r="O721" s="324" t="str">
        <f t="shared" si="236"/>
        <v/>
      </c>
      <c r="P721" s="324" t="str">
        <f t="shared" si="237"/>
        <v>5.9 Expandierter Kork (ICB) [0,058]</v>
      </c>
      <c r="Q721" s="324"/>
      <c r="R721" s="338">
        <f t="shared" si="238"/>
        <v>5.8000000000000003E-2</v>
      </c>
      <c r="S721" s="330" t="str">
        <f t="shared" si="239"/>
        <v>5.9 Expandierter Kork (ICB)</v>
      </c>
      <c r="T721" s="339"/>
      <c r="U721" s="339" t="str">
        <f t="shared" si="240"/>
        <v>[0,058]</v>
      </c>
    </row>
    <row r="722" spans="2:21" hidden="1">
      <c r="B722" s="213" t="s">
        <v>1479</v>
      </c>
      <c r="D722" s="213" t="s">
        <v>1858</v>
      </c>
      <c r="F722" s="1121">
        <v>3.2000000000000001E-2</v>
      </c>
      <c r="G722" s="213">
        <v>3.4000000000000002E-2</v>
      </c>
      <c r="H722" s="1122" t="s">
        <v>3333</v>
      </c>
      <c r="I722" s="213" t="s">
        <v>803</v>
      </c>
      <c r="K722" s="1073"/>
      <c r="O722" s="324" t="str">
        <f t="shared" si="233"/>
        <v>5.10 Holzfaserdämmstoff</v>
      </c>
      <c r="P722" s="324" t="str">
        <f t="shared" si="234"/>
        <v>5.10 Holzfaserdämmstoff (WF) [0,034]</v>
      </c>
      <c r="Q722" s="324"/>
      <c r="R722" s="338">
        <f t="shared" si="210"/>
        <v>3.4000000000000002E-2</v>
      </c>
      <c r="S722" s="330" t="str">
        <f t="shared" si="231"/>
        <v>5.10 Holzfaserdämmstoff (WF)</v>
      </c>
      <c r="T722" s="339"/>
      <c r="U722" s="339" t="str">
        <f t="shared" si="211"/>
        <v>[0,034]</v>
      </c>
    </row>
    <row r="723" spans="2:21" ht="12" hidden="1" customHeight="1">
      <c r="B723" s="1353" t="s">
        <v>1859</v>
      </c>
      <c r="C723" s="1353"/>
      <c r="D723" s="228" t="str">
        <f t="shared" ref="D723:D750" si="241">D722</f>
        <v>5.10 Holzfaserdämmstoff (WF)</v>
      </c>
      <c r="F723" s="1121">
        <v>3.3000000000000002E-2</v>
      </c>
      <c r="G723" s="213">
        <f t="shared" ref="G723:G730" si="242">G722+0.001</f>
        <v>3.5000000000000003E-2</v>
      </c>
      <c r="H723" s="1115" t="str">
        <f t="shared" si="212"/>
        <v>3/5</v>
      </c>
      <c r="K723" s="1073"/>
      <c r="O723" s="324" t="str">
        <f t="shared" si="233"/>
        <v/>
      </c>
      <c r="P723" s="324" t="str">
        <f t="shared" si="234"/>
        <v>5.10 Holzfaserdämmstoff (WF) [0,035]</v>
      </c>
      <c r="Q723" s="324"/>
      <c r="R723" s="338">
        <f t="shared" si="210"/>
        <v>3.5000000000000003E-2</v>
      </c>
      <c r="S723" s="330" t="str">
        <f t="shared" si="231"/>
        <v>5.10 Holzfaserdämmstoff (WF)</v>
      </c>
      <c r="T723" s="339"/>
      <c r="U723" s="339" t="str">
        <f t="shared" si="211"/>
        <v>[0,035]</v>
      </c>
    </row>
    <row r="724" spans="2:21" hidden="1">
      <c r="B724" s="1353"/>
      <c r="C724" s="1353"/>
      <c r="D724" s="228" t="str">
        <f t="shared" si="241"/>
        <v>5.10 Holzfaserdämmstoff (WF)</v>
      </c>
      <c r="F724" s="1121">
        <f>F723+0.001</f>
        <v>3.4000000000000002E-2</v>
      </c>
      <c r="G724" s="216">
        <f t="shared" si="242"/>
        <v>3.6000000000000004E-2</v>
      </c>
      <c r="H724" s="1115" t="str">
        <f t="shared" si="212"/>
        <v>3/5</v>
      </c>
      <c r="K724" s="1073"/>
      <c r="O724" s="324" t="str">
        <f t="shared" si="233"/>
        <v/>
      </c>
      <c r="P724" s="324" t="str">
        <f t="shared" si="234"/>
        <v>5.10 Holzfaserdämmstoff (WF) [0,036]</v>
      </c>
      <c r="Q724" s="324"/>
      <c r="R724" s="338">
        <f t="shared" si="210"/>
        <v>3.6000000000000004E-2</v>
      </c>
      <c r="S724" s="330" t="str">
        <f t="shared" si="231"/>
        <v>5.10 Holzfaserdämmstoff (WF)</v>
      </c>
      <c r="T724" s="339"/>
      <c r="U724" s="339" t="str">
        <f t="shared" si="211"/>
        <v>[0,036]</v>
      </c>
    </row>
    <row r="725" spans="2:21" hidden="1">
      <c r="D725" s="228" t="str">
        <f t="shared" si="241"/>
        <v>5.10 Holzfaserdämmstoff (WF)</v>
      </c>
      <c r="F725" s="1121">
        <f t="shared" ref="F725:F750" si="243">F724+0.001</f>
        <v>3.5000000000000003E-2</v>
      </c>
      <c r="G725" s="216">
        <f t="shared" si="242"/>
        <v>3.7000000000000005E-2</v>
      </c>
      <c r="H725" s="1115" t="str">
        <f t="shared" si="212"/>
        <v>3/5</v>
      </c>
      <c r="K725" s="1073"/>
      <c r="O725" s="324" t="str">
        <f t="shared" si="233"/>
        <v/>
      </c>
      <c r="P725" s="324" t="str">
        <f t="shared" si="234"/>
        <v>5.10 Holzfaserdämmstoff (WF) [0,037]</v>
      </c>
      <c r="Q725" s="324"/>
      <c r="R725" s="338">
        <f t="shared" si="210"/>
        <v>3.7000000000000005E-2</v>
      </c>
      <c r="S725" s="330" t="str">
        <f t="shared" si="231"/>
        <v>5.10 Holzfaserdämmstoff (WF)</v>
      </c>
      <c r="T725" s="339"/>
      <c r="U725" s="339" t="str">
        <f t="shared" si="211"/>
        <v>[0,037]</v>
      </c>
    </row>
    <row r="726" spans="2:21" hidden="1">
      <c r="D726" s="228" t="str">
        <f t="shared" si="241"/>
        <v>5.10 Holzfaserdämmstoff (WF)</v>
      </c>
      <c r="F726" s="1121">
        <f t="shared" si="243"/>
        <v>3.6000000000000004E-2</v>
      </c>
      <c r="G726" s="216">
        <f t="shared" si="242"/>
        <v>3.8000000000000006E-2</v>
      </c>
      <c r="H726" s="1115" t="str">
        <f t="shared" si="212"/>
        <v>3/5</v>
      </c>
      <c r="K726" s="1073"/>
      <c r="O726" s="324" t="str">
        <f t="shared" si="233"/>
        <v/>
      </c>
      <c r="P726" s="324" t="str">
        <f t="shared" si="234"/>
        <v>5.10 Holzfaserdämmstoff (WF) [0,038]</v>
      </c>
      <c r="Q726" s="324"/>
      <c r="R726" s="338">
        <f t="shared" si="210"/>
        <v>3.8000000000000006E-2</v>
      </c>
      <c r="S726" s="330" t="str">
        <f t="shared" si="231"/>
        <v>5.10 Holzfaserdämmstoff (WF)</v>
      </c>
      <c r="T726" s="339"/>
      <c r="U726" s="339" t="str">
        <f t="shared" si="211"/>
        <v>[0,038]</v>
      </c>
    </row>
    <row r="727" spans="2:21" hidden="1">
      <c r="D727" s="228" t="str">
        <f t="shared" si="241"/>
        <v>5.10 Holzfaserdämmstoff (WF)</v>
      </c>
      <c r="F727" s="1121">
        <f t="shared" si="243"/>
        <v>3.7000000000000005E-2</v>
      </c>
      <c r="G727" s="216">
        <f t="shared" si="242"/>
        <v>3.9000000000000007E-2</v>
      </c>
      <c r="H727" s="1115" t="str">
        <f t="shared" si="212"/>
        <v>3/5</v>
      </c>
      <c r="K727" s="1073"/>
      <c r="O727" s="324" t="str">
        <f t="shared" si="233"/>
        <v/>
      </c>
      <c r="P727" s="324" t="str">
        <f t="shared" si="234"/>
        <v>5.10 Holzfaserdämmstoff (WF) [0,039]</v>
      </c>
      <c r="Q727" s="324"/>
      <c r="R727" s="338">
        <f t="shared" si="210"/>
        <v>3.9000000000000007E-2</v>
      </c>
      <c r="S727" s="330" t="str">
        <f t="shared" si="231"/>
        <v>5.10 Holzfaserdämmstoff (WF)</v>
      </c>
      <c r="T727" s="339"/>
      <c r="U727" s="339" t="str">
        <f t="shared" si="211"/>
        <v>[0,039]</v>
      </c>
    </row>
    <row r="728" spans="2:21" hidden="1">
      <c r="D728" s="228" t="str">
        <f t="shared" si="241"/>
        <v>5.10 Holzfaserdämmstoff (WF)</v>
      </c>
      <c r="F728" s="1121">
        <f t="shared" si="243"/>
        <v>3.8000000000000006E-2</v>
      </c>
      <c r="G728" s="216">
        <f t="shared" si="242"/>
        <v>4.0000000000000008E-2</v>
      </c>
      <c r="H728" s="1115" t="str">
        <f t="shared" si="212"/>
        <v>3/5</v>
      </c>
      <c r="K728" s="1073"/>
      <c r="O728" s="324" t="str">
        <f t="shared" si="233"/>
        <v/>
      </c>
      <c r="P728" s="324" t="str">
        <f t="shared" si="234"/>
        <v>5.10 Holzfaserdämmstoff (WF) [0,04]</v>
      </c>
      <c r="Q728" s="324"/>
      <c r="R728" s="338">
        <f t="shared" si="210"/>
        <v>4.0000000000000008E-2</v>
      </c>
      <c r="S728" s="330" t="str">
        <f t="shared" si="231"/>
        <v>5.10 Holzfaserdämmstoff (WF)</v>
      </c>
      <c r="T728" s="339"/>
      <c r="U728" s="339" t="str">
        <f t="shared" si="211"/>
        <v>[0,04]</v>
      </c>
    </row>
    <row r="729" spans="2:21" hidden="1">
      <c r="D729" s="228" t="str">
        <f t="shared" si="241"/>
        <v>5.10 Holzfaserdämmstoff (WF)</v>
      </c>
      <c r="F729" s="1121">
        <f t="shared" si="243"/>
        <v>3.9000000000000007E-2</v>
      </c>
      <c r="G729" s="216">
        <f t="shared" si="242"/>
        <v>4.1000000000000009E-2</v>
      </c>
      <c r="H729" s="1115" t="str">
        <f t="shared" si="212"/>
        <v>3/5</v>
      </c>
      <c r="K729" s="1073"/>
      <c r="O729" s="324" t="str">
        <f t="shared" si="233"/>
        <v/>
      </c>
      <c r="P729" s="324" t="str">
        <f t="shared" si="234"/>
        <v>5.10 Holzfaserdämmstoff (WF) [0,041]</v>
      </c>
      <c r="Q729" s="324"/>
      <c r="R729" s="338">
        <f t="shared" si="210"/>
        <v>4.1000000000000009E-2</v>
      </c>
      <c r="S729" s="330" t="str">
        <f t="shared" si="231"/>
        <v>5.10 Holzfaserdämmstoff (WF)</v>
      </c>
      <c r="T729" s="339"/>
      <c r="U729" s="339" t="str">
        <f t="shared" si="211"/>
        <v>[0,041]</v>
      </c>
    </row>
    <row r="730" spans="2:21" hidden="1">
      <c r="D730" s="228" t="str">
        <f t="shared" si="241"/>
        <v>5.10 Holzfaserdämmstoff (WF)</v>
      </c>
      <c r="F730" s="1121">
        <f t="shared" si="243"/>
        <v>4.0000000000000008E-2</v>
      </c>
      <c r="G730" s="216">
        <f t="shared" si="242"/>
        <v>4.200000000000001E-2</v>
      </c>
      <c r="H730" s="1115" t="str">
        <f t="shared" si="212"/>
        <v>3/5</v>
      </c>
      <c r="K730" s="1073"/>
      <c r="O730" s="324" t="str">
        <f t="shared" si="233"/>
        <v/>
      </c>
      <c r="P730" s="324" t="str">
        <f t="shared" si="234"/>
        <v>5.10 Holzfaserdämmstoff (WF) [0,042]</v>
      </c>
      <c r="Q730" s="324"/>
      <c r="R730" s="338">
        <f t="shared" si="210"/>
        <v>4.200000000000001E-2</v>
      </c>
      <c r="S730" s="330" t="str">
        <f t="shared" si="231"/>
        <v>5.10 Holzfaserdämmstoff (WF)</v>
      </c>
      <c r="T730" s="339"/>
      <c r="U730" s="339" t="str">
        <f t="shared" si="211"/>
        <v>[0,042]</v>
      </c>
    </row>
    <row r="731" spans="2:21" hidden="1">
      <c r="D731" s="228" t="str">
        <f t="shared" si="241"/>
        <v>5.10 Holzfaserdämmstoff (WF)</v>
      </c>
      <c r="F731" s="1121">
        <f t="shared" si="243"/>
        <v>4.1000000000000009E-2</v>
      </c>
      <c r="G731" s="216">
        <f>G730+0.001</f>
        <v>4.300000000000001E-2</v>
      </c>
      <c r="H731" s="1115" t="str">
        <f t="shared" si="212"/>
        <v>3/5</v>
      </c>
      <c r="K731" s="1073"/>
      <c r="P731" s="324" t="str">
        <f t="shared" ref="P731:P750" si="244">S731&amp;IF(T731&lt;&gt;""," "&amp;T731,"")&amp;IF(U731&lt;&gt;""," "&amp;U731,"")&amp;IF(V731&lt;&gt;""," "&amp;V731,"")</f>
        <v>5.10 Holzfaserdämmstoff (WF) [0,043]</v>
      </c>
      <c r="Q731" s="324"/>
      <c r="R731" s="338">
        <f t="shared" ref="R731:R754" si="245">G731</f>
        <v>4.300000000000001E-2</v>
      </c>
      <c r="S731" s="330" t="str">
        <f t="shared" si="231"/>
        <v>5.10 Holzfaserdämmstoff (WF)</v>
      </c>
      <c r="T731" s="339"/>
      <c r="U731" s="339" t="str">
        <f t="shared" ref="U731:U754" si="246">IF(G731&gt;0,"["&amp;G731&amp;"]","")</f>
        <v>[0,043]</v>
      </c>
    </row>
    <row r="732" spans="2:21" hidden="1">
      <c r="D732" s="228" t="str">
        <f t="shared" si="241"/>
        <v>5.10 Holzfaserdämmstoff (WF)</v>
      </c>
      <c r="F732" s="1121">
        <f t="shared" si="243"/>
        <v>4.200000000000001E-2</v>
      </c>
      <c r="G732" s="216">
        <f t="shared" ref="G732:G739" si="247">G731+0.001</f>
        <v>4.4000000000000011E-2</v>
      </c>
      <c r="H732" s="1115" t="str">
        <f t="shared" si="212"/>
        <v>3/5</v>
      </c>
      <c r="K732" s="1073"/>
      <c r="P732" s="324" t="str">
        <f t="shared" si="244"/>
        <v>5.10 Holzfaserdämmstoff (WF) [0,044]</v>
      </c>
      <c r="Q732" s="324"/>
      <c r="R732" s="338">
        <f t="shared" si="245"/>
        <v>4.4000000000000011E-2</v>
      </c>
      <c r="S732" s="330" t="str">
        <f t="shared" si="231"/>
        <v>5.10 Holzfaserdämmstoff (WF)</v>
      </c>
      <c r="T732" s="339"/>
      <c r="U732" s="339" t="str">
        <f t="shared" si="246"/>
        <v>[0,044]</v>
      </c>
    </row>
    <row r="733" spans="2:21" hidden="1">
      <c r="D733" s="228" t="str">
        <f t="shared" si="241"/>
        <v>5.10 Holzfaserdämmstoff (WF)</v>
      </c>
      <c r="F733" s="1121">
        <f t="shared" si="243"/>
        <v>4.300000000000001E-2</v>
      </c>
      <c r="G733" s="216">
        <f t="shared" si="247"/>
        <v>4.5000000000000012E-2</v>
      </c>
      <c r="H733" s="1115" t="str">
        <f t="shared" ref="H733:H752" si="248">H732</f>
        <v>3/5</v>
      </c>
      <c r="K733" s="1073"/>
      <c r="P733" s="324" t="str">
        <f t="shared" si="244"/>
        <v>5.10 Holzfaserdämmstoff (WF) [0,045]</v>
      </c>
      <c r="Q733" s="324"/>
      <c r="R733" s="338">
        <f t="shared" si="245"/>
        <v>4.5000000000000012E-2</v>
      </c>
      <c r="S733" s="330" t="str">
        <f t="shared" si="231"/>
        <v>5.10 Holzfaserdämmstoff (WF)</v>
      </c>
      <c r="T733" s="339"/>
      <c r="U733" s="339" t="str">
        <f t="shared" si="246"/>
        <v>[0,045]</v>
      </c>
    </row>
    <row r="734" spans="2:21" hidden="1">
      <c r="D734" s="228" t="str">
        <f t="shared" si="241"/>
        <v>5.10 Holzfaserdämmstoff (WF)</v>
      </c>
      <c r="F734" s="1121">
        <f t="shared" si="243"/>
        <v>4.4000000000000011E-2</v>
      </c>
      <c r="G734" s="216">
        <f t="shared" si="247"/>
        <v>4.6000000000000013E-2</v>
      </c>
      <c r="H734" s="1115" t="str">
        <f t="shared" si="248"/>
        <v>3/5</v>
      </c>
      <c r="K734" s="1073"/>
      <c r="P734" s="324" t="str">
        <f t="shared" si="244"/>
        <v>5.10 Holzfaserdämmstoff (WF) [0,046]</v>
      </c>
      <c r="Q734" s="324"/>
      <c r="R734" s="338">
        <f t="shared" si="245"/>
        <v>4.6000000000000013E-2</v>
      </c>
      <c r="S734" s="330" t="str">
        <f t="shared" si="231"/>
        <v>5.10 Holzfaserdämmstoff (WF)</v>
      </c>
      <c r="T734" s="339"/>
      <c r="U734" s="339" t="str">
        <f t="shared" si="246"/>
        <v>[0,046]</v>
      </c>
    </row>
    <row r="735" spans="2:21" hidden="1">
      <c r="D735" s="228" t="str">
        <f t="shared" si="241"/>
        <v>5.10 Holzfaserdämmstoff (WF)</v>
      </c>
      <c r="F735" s="1121">
        <f t="shared" si="243"/>
        <v>4.5000000000000012E-2</v>
      </c>
      <c r="G735" s="216">
        <f t="shared" si="247"/>
        <v>4.7000000000000014E-2</v>
      </c>
      <c r="H735" s="1115" t="str">
        <f t="shared" si="248"/>
        <v>3/5</v>
      </c>
      <c r="K735" s="1073"/>
      <c r="P735" s="324" t="str">
        <f t="shared" si="244"/>
        <v>5.10 Holzfaserdämmstoff (WF) [0,047]</v>
      </c>
      <c r="Q735" s="324"/>
      <c r="R735" s="338">
        <f t="shared" si="245"/>
        <v>4.7000000000000014E-2</v>
      </c>
      <c r="S735" s="330" t="str">
        <f t="shared" si="231"/>
        <v>5.10 Holzfaserdämmstoff (WF)</v>
      </c>
      <c r="T735" s="339"/>
      <c r="U735" s="339" t="str">
        <f t="shared" si="246"/>
        <v>[0,047]</v>
      </c>
    </row>
    <row r="736" spans="2:21" hidden="1">
      <c r="D736" s="228" t="str">
        <f t="shared" si="241"/>
        <v>5.10 Holzfaserdämmstoff (WF)</v>
      </c>
      <c r="F736" s="1121">
        <f t="shared" si="243"/>
        <v>4.6000000000000013E-2</v>
      </c>
      <c r="G736" s="216">
        <f t="shared" si="247"/>
        <v>4.8000000000000015E-2</v>
      </c>
      <c r="H736" s="1115" t="str">
        <f t="shared" si="248"/>
        <v>3/5</v>
      </c>
      <c r="K736" s="1073"/>
      <c r="P736" s="324" t="str">
        <f t="shared" si="244"/>
        <v>5.10 Holzfaserdämmstoff (WF) [0,048]</v>
      </c>
      <c r="Q736" s="324"/>
      <c r="R736" s="338">
        <f t="shared" si="245"/>
        <v>4.8000000000000015E-2</v>
      </c>
      <c r="S736" s="330" t="str">
        <f t="shared" si="231"/>
        <v>5.10 Holzfaserdämmstoff (WF)</v>
      </c>
      <c r="T736" s="339"/>
      <c r="U736" s="339" t="str">
        <f t="shared" si="246"/>
        <v>[0,048]</v>
      </c>
    </row>
    <row r="737" spans="2:24" hidden="1">
      <c r="D737" s="228" t="str">
        <f t="shared" si="241"/>
        <v>5.10 Holzfaserdämmstoff (WF)</v>
      </c>
      <c r="F737" s="1121">
        <f t="shared" si="243"/>
        <v>4.7000000000000014E-2</v>
      </c>
      <c r="G737" s="216">
        <f t="shared" si="247"/>
        <v>4.9000000000000016E-2</v>
      </c>
      <c r="H737" s="1115" t="str">
        <f t="shared" si="248"/>
        <v>3/5</v>
      </c>
      <c r="K737" s="1073"/>
      <c r="P737" s="324" t="str">
        <f t="shared" si="244"/>
        <v>5.10 Holzfaserdämmstoff (WF) [0,049]</v>
      </c>
      <c r="Q737" s="324"/>
      <c r="R737" s="338">
        <f t="shared" si="245"/>
        <v>4.9000000000000016E-2</v>
      </c>
      <c r="S737" s="330" t="str">
        <f t="shared" si="231"/>
        <v>5.10 Holzfaserdämmstoff (WF)</v>
      </c>
      <c r="T737" s="339"/>
      <c r="U737" s="339" t="str">
        <f t="shared" si="246"/>
        <v>[0,049]</v>
      </c>
    </row>
    <row r="738" spans="2:24" hidden="1">
      <c r="D738" s="228" t="str">
        <f t="shared" si="241"/>
        <v>5.10 Holzfaserdämmstoff (WF)</v>
      </c>
      <c r="F738" s="1121">
        <f t="shared" si="243"/>
        <v>4.8000000000000015E-2</v>
      </c>
      <c r="G738" s="216">
        <f t="shared" si="247"/>
        <v>5.0000000000000017E-2</v>
      </c>
      <c r="H738" s="1115" t="str">
        <f t="shared" si="248"/>
        <v>3/5</v>
      </c>
      <c r="K738" s="1073"/>
      <c r="P738" s="324" t="str">
        <f t="shared" si="244"/>
        <v>5.10 Holzfaserdämmstoff (WF) [0,05]</v>
      </c>
      <c r="Q738" s="324"/>
      <c r="R738" s="338">
        <f t="shared" si="245"/>
        <v>5.0000000000000017E-2</v>
      </c>
      <c r="S738" s="330" t="str">
        <f t="shared" si="231"/>
        <v>5.10 Holzfaserdämmstoff (WF)</v>
      </c>
      <c r="T738" s="339"/>
      <c r="U738" s="339" t="str">
        <f t="shared" si="246"/>
        <v>[0,05]</v>
      </c>
    </row>
    <row r="739" spans="2:24" hidden="1">
      <c r="D739" s="228" t="str">
        <f t="shared" si="241"/>
        <v>5.10 Holzfaserdämmstoff (WF)</v>
      </c>
      <c r="F739" s="1121">
        <f t="shared" si="243"/>
        <v>4.9000000000000016E-2</v>
      </c>
      <c r="G739" s="213">
        <f t="shared" si="247"/>
        <v>5.1000000000000018E-2</v>
      </c>
      <c r="H739" s="1115" t="str">
        <f t="shared" si="248"/>
        <v>3/5</v>
      </c>
      <c r="K739" s="1073"/>
      <c r="P739" s="324" t="str">
        <f t="shared" si="244"/>
        <v>5.10 Holzfaserdämmstoff (WF) [0,051]</v>
      </c>
      <c r="Q739" s="324"/>
      <c r="R739" s="338">
        <f t="shared" si="245"/>
        <v>5.1000000000000018E-2</v>
      </c>
      <c r="S739" s="330" t="str">
        <f t="shared" si="231"/>
        <v>5.10 Holzfaserdämmstoff (WF)</v>
      </c>
      <c r="T739" s="339"/>
      <c r="U739" s="339" t="str">
        <f t="shared" si="246"/>
        <v>[0,051]</v>
      </c>
    </row>
    <row r="740" spans="2:24" hidden="1">
      <c r="D740" s="228" t="str">
        <f t="shared" si="241"/>
        <v>5.10 Holzfaserdämmstoff (WF)</v>
      </c>
      <c r="F740" s="1121">
        <f t="shared" si="243"/>
        <v>5.0000000000000017E-2</v>
      </c>
      <c r="G740" s="213">
        <v>5.2999999999999999E-2</v>
      </c>
      <c r="H740" s="1115" t="str">
        <f t="shared" si="248"/>
        <v>3/5</v>
      </c>
      <c r="K740" s="1073"/>
      <c r="P740" s="324" t="str">
        <f t="shared" si="244"/>
        <v>5.10 Holzfaserdämmstoff (WF) [0,053]</v>
      </c>
      <c r="Q740" s="324"/>
      <c r="R740" s="338">
        <f t="shared" si="245"/>
        <v>5.2999999999999999E-2</v>
      </c>
      <c r="S740" s="330" t="str">
        <f t="shared" si="231"/>
        <v>5.10 Holzfaserdämmstoff (WF)</v>
      </c>
      <c r="T740" s="339"/>
      <c r="U740" s="339" t="str">
        <f t="shared" si="246"/>
        <v>[0,053]</v>
      </c>
    </row>
    <row r="741" spans="2:24" hidden="1">
      <c r="D741" s="228" t="str">
        <f t="shared" si="241"/>
        <v>5.10 Holzfaserdämmstoff (WF)</v>
      </c>
      <c r="F741" s="1121">
        <f t="shared" si="243"/>
        <v>5.1000000000000018E-2</v>
      </c>
      <c r="G741" s="216">
        <f t="shared" ref="G741:G749" si="249">G740+0.001</f>
        <v>5.3999999999999999E-2</v>
      </c>
      <c r="H741" s="1115" t="str">
        <f t="shared" si="248"/>
        <v>3/5</v>
      </c>
      <c r="K741" s="1073"/>
      <c r="P741" s="324" t="str">
        <f t="shared" si="244"/>
        <v>5.10 Holzfaserdämmstoff (WF) [0,054]</v>
      </c>
      <c r="Q741" s="324"/>
      <c r="R741" s="338">
        <f t="shared" si="245"/>
        <v>5.3999999999999999E-2</v>
      </c>
      <c r="S741" s="330" t="str">
        <f t="shared" si="231"/>
        <v>5.10 Holzfaserdämmstoff (WF)</v>
      </c>
      <c r="T741" s="339"/>
      <c r="U741" s="339" t="str">
        <f t="shared" si="246"/>
        <v>[0,054]</v>
      </c>
    </row>
    <row r="742" spans="2:24" hidden="1">
      <c r="D742" s="228" t="str">
        <f t="shared" si="241"/>
        <v>5.10 Holzfaserdämmstoff (WF)</v>
      </c>
      <c r="F742" s="1121">
        <f t="shared" si="243"/>
        <v>5.2000000000000018E-2</v>
      </c>
      <c r="G742" s="216">
        <f t="shared" si="249"/>
        <v>5.5E-2</v>
      </c>
      <c r="H742" s="1115" t="str">
        <f t="shared" si="248"/>
        <v>3/5</v>
      </c>
      <c r="K742" s="1073"/>
      <c r="P742" s="324" t="str">
        <f t="shared" si="244"/>
        <v>5.10 Holzfaserdämmstoff (WF) [0,055]</v>
      </c>
      <c r="Q742" s="324"/>
      <c r="R742" s="338">
        <f t="shared" si="245"/>
        <v>5.5E-2</v>
      </c>
      <c r="S742" s="330" t="str">
        <f t="shared" si="231"/>
        <v>5.10 Holzfaserdämmstoff (WF)</v>
      </c>
      <c r="T742" s="339"/>
      <c r="U742" s="339" t="str">
        <f t="shared" si="246"/>
        <v>[0,055]</v>
      </c>
    </row>
    <row r="743" spans="2:24" hidden="1">
      <c r="D743" s="228" t="str">
        <f t="shared" si="241"/>
        <v>5.10 Holzfaserdämmstoff (WF)</v>
      </c>
      <c r="F743" s="1121">
        <f t="shared" si="243"/>
        <v>5.3000000000000019E-2</v>
      </c>
      <c r="G743" s="216">
        <f t="shared" si="249"/>
        <v>5.6000000000000001E-2</v>
      </c>
      <c r="H743" s="1115" t="str">
        <f t="shared" si="248"/>
        <v>3/5</v>
      </c>
      <c r="K743" s="1073"/>
      <c r="P743" s="324" t="str">
        <f t="shared" si="244"/>
        <v>5.10 Holzfaserdämmstoff (WF) [0,056]</v>
      </c>
      <c r="Q743" s="324"/>
      <c r="R743" s="338">
        <f t="shared" si="245"/>
        <v>5.6000000000000001E-2</v>
      </c>
      <c r="S743" s="330" t="str">
        <f t="shared" si="231"/>
        <v>5.10 Holzfaserdämmstoff (WF)</v>
      </c>
      <c r="T743" s="339"/>
      <c r="U743" s="339" t="str">
        <f t="shared" si="246"/>
        <v>[0,056]</v>
      </c>
    </row>
    <row r="744" spans="2:24" hidden="1">
      <c r="D744" s="228" t="str">
        <f t="shared" si="241"/>
        <v>5.10 Holzfaserdämmstoff (WF)</v>
      </c>
      <c r="F744" s="1121">
        <f t="shared" si="243"/>
        <v>5.400000000000002E-2</v>
      </c>
      <c r="G744" s="216">
        <f t="shared" si="249"/>
        <v>5.7000000000000002E-2</v>
      </c>
      <c r="H744" s="1115" t="str">
        <f t="shared" si="248"/>
        <v>3/5</v>
      </c>
      <c r="K744" s="1073"/>
      <c r="P744" s="324" t="str">
        <f t="shared" si="244"/>
        <v>5.10 Holzfaserdämmstoff (WF) [0,057]</v>
      </c>
      <c r="Q744" s="324"/>
      <c r="R744" s="338">
        <f t="shared" si="245"/>
        <v>5.7000000000000002E-2</v>
      </c>
      <c r="S744" s="330" t="str">
        <f t="shared" ref="S744:S754" si="250">D744</f>
        <v>5.10 Holzfaserdämmstoff (WF)</v>
      </c>
      <c r="T744" s="339"/>
      <c r="U744" s="339" t="str">
        <f t="shared" si="246"/>
        <v>[0,057]</v>
      </c>
    </row>
    <row r="745" spans="2:24" hidden="1">
      <c r="D745" s="228" t="str">
        <f t="shared" si="241"/>
        <v>5.10 Holzfaserdämmstoff (WF)</v>
      </c>
      <c r="F745" s="1121">
        <f t="shared" si="243"/>
        <v>5.5000000000000021E-2</v>
      </c>
      <c r="G745" s="216">
        <f t="shared" si="249"/>
        <v>5.8000000000000003E-2</v>
      </c>
      <c r="H745" s="1115" t="str">
        <f t="shared" si="248"/>
        <v>3/5</v>
      </c>
      <c r="K745" s="1073"/>
      <c r="P745" s="324" t="str">
        <f t="shared" si="244"/>
        <v>5.10 Holzfaserdämmstoff (WF) [0,058]</v>
      </c>
      <c r="Q745" s="324"/>
      <c r="R745" s="338">
        <f t="shared" si="245"/>
        <v>5.8000000000000003E-2</v>
      </c>
      <c r="S745" s="330" t="str">
        <f t="shared" si="250"/>
        <v>5.10 Holzfaserdämmstoff (WF)</v>
      </c>
      <c r="T745" s="339"/>
      <c r="U745" s="339" t="str">
        <f t="shared" si="246"/>
        <v>[0,058]</v>
      </c>
    </row>
    <row r="746" spans="2:24" hidden="1">
      <c r="D746" s="228" t="str">
        <f t="shared" si="241"/>
        <v>5.10 Holzfaserdämmstoff (WF)</v>
      </c>
      <c r="F746" s="1121">
        <f t="shared" si="243"/>
        <v>5.6000000000000022E-2</v>
      </c>
      <c r="G746" s="216">
        <f t="shared" si="249"/>
        <v>5.9000000000000004E-2</v>
      </c>
      <c r="H746" s="1115" t="str">
        <f t="shared" si="248"/>
        <v>3/5</v>
      </c>
      <c r="K746" s="1073"/>
      <c r="P746" s="324" t="str">
        <f t="shared" si="244"/>
        <v>5.10 Holzfaserdämmstoff (WF) [0,059]</v>
      </c>
      <c r="Q746" s="324"/>
      <c r="R746" s="338">
        <f t="shared" si="245"/>
        <v>5.9000000000000004E-2</v>
      </c>
      <c r="S746" s="330" t="str">
        <f t="shared" si="250"/>
        <v>5.10 Holzfaserdämmstoff (WF)</v>
      </c>
      <c r="T746" s="339"/>
      <c r="U746" s="339" t="str">
        <f t="shared" si="246"/>
        <v>[0,059]</v>
      </c>
    </row>
    <row r="747" spans="2:24" hidden="1">
      <c r="D747" s="228" t="str">
        <f t="shared" si="241"/>
        <v>5.10 Holzfaserdämmstoff (WF)</v>
      </c>
      <c r="F747" s="1121">
        <f t="shared" si="243"/>
        <v>5.7000000000000023E-2</v>
      </c>
      <c r="G747" s="216">
        <f t="shared" si="249"/>
        <v>6.0000000000000005E-2</v>
      </c>
      <c r="H747" s="1115" t="str">
        <f t="shared" si="248"/>
        <v>3/5</v>
      </c>
      <c r="K747" s="1073"/>
      <c r="P747" s="324" t="str">
        <f t="shared" si="244"/>
        <v>5.10 Holzfaserdämmstoff (WF) [0,06]</v>
      </c>
      <c r="Q747" s="324"/>
      <c r="R747" s="338">
        <f t="shared" si="245"/>
        <v>6.0000000000000005E-2</v>
      </c>
      <c r="S747" s="330" t="str">
        <f t="shared" si="250"/>
        <v>5.10 Holzfaserdämmstoff (WF)</v>
      </c>
      <c r="T747" s="339"/>
      <c r="U747" s="339" t="str">
        <f t="shared" si="246"/>
        <v>[0,06]</v>
      </c>
    </row>
    <row r="748" spans="2:24" hidden="1">
      <c r="D748" s="228" t="str">
        <f t="shared" si="241"/>
        <v>5.10 Holzfaserdämmstoff (WF)</v>
      </c>
      <c r="F748" s="1121">
        <f t="shared" si="243"/>
        <v>5.8000000000000024E-2</v>
      </c>
      <c r="G748" s="216">
        <f t="shared" si="249"/>
        <v>6.1000000000000006E-2</v>
      </c>
      <c r="H748" s="1115" t="str">
        <f t="shared" si="248"/>
        <v>3/5</v>
      </c>
      <c r="K748" s="1073"/>
      <c r="P748" s="324" t="str">
        <f t="shared" si="244"/>
        <v>5.10 Holzfaserdämmstoff (WF) [0,061]</v>
      </c>
      <c r="Q748" s="324"/>
      <c r="R748" s="338">
        <f t="shared" si="245"/>
        <v>6.1000000000000006E-2</v>
      </c>
      <c r="S748" s="330" t="str">
        <f t="shared" si="250"/>
        <v>5.10 Holzfaserdämmstoff (WF)</v>
      </c>
      <c r="T748" s="339"/>
      <c r="U748" s="339" t="str">
        <f t="shared" si="246"/>
        <v>[0,061]</v>
      </c>
    </row>
    <row r="749" spans="2:24" hidden="1">
      <c r="D749" s="228" t="str">
        <f t="shared" si="241"/>
        <v>5.10 Holzfaserdämmstoff (WF)</v>
      </c>
      <c r="F749" s="1121">
        <f t="shared" si="243"/>
        <v>5.9000000000000025E-2</v>
      </c>
      <c r="G749" s="216">
        <f t="shared" si="249"/>
        <v>6.2000000000000006E-2</v>
      </c>
      <c r="H749" s="1115" t="str">
        <f t="shared" si="248"/>
        <v>3/5</v>
      </c>
      <c r="K749" s="1073"/>
      <c r="P749" s="324" t="str">
        <f t="shared" si="244"/>
        <v>5.10 Holzfaserdämmstoff (WF) [0,062]</v>
      </c>
      <c r="Q749" s="324"/>
      <c r="R749" s="338">
        <f t="shared" si="245"/>
        <v>6.2000000000000006E-2</v>
      </c>
      <c r="S749" s="330" t="str">
        <f t="shared" si="250"/>
        <v>5.10 Holzfaserdämmstoff (WF)</v>
      </c>
      <c r="T749" s="339"/>
      <c r="U749" s="339" t="str">
        <f t="shared" si="246"/>
        <v>[0,062]</v>
      </c>
    </row>
    <row r="750" spans="2:24" hidden="1">
      <c r="D750" s="228" t="str">
        <f t="shared" si="241"/>
        <v>5.10 Holzfaserdämmstoff (WF)</v>
      </c>
      <c r="F750" s="1121">
        <f t="shared" si="243"/>
        <v>6.0000000000000026E-2</v>
      </c>
      <c r="G750" s="213">
        <v>6.3E-2</v>
      </c>
      <c r="H750" s="1115" t="str">
        <f t="shared" si="248"/>
        <v>3/5</v>
      </c>
      <c r="K750" s="1073"/>
      <c r="O750" s="324" t="str">
        <f t="shared" ref="O750:O754" si="251">IF(AND(B750&gt;0,B750,LEFT(B750,1)&lt;&gt;" "),B750,"")</f>
        <v/>
      </c>
      <c r="P750" s="324" t="str">
        <f t="shared" si="244"/>
        <v>5.10 Holzfaserdämmstoff (WF) [0,063]</v>
      </c>
      <c r="Q750" s="324"/>
      <c r="R750" s="338">
        <f t="shared" si="245"/>
        <v>6.3E-2</v>
      </c>
      <c r="S750" s="330" t="str">
        <f t="shared" si="250"/>
        <v>5.10 Holzfaserdämmstoff (WF)</v>
      </c>
      <c r="T750" s="339"/>
      <c r="U750" s="339" t="str">
        <f t="shared" si="246"/>
        <v>[0,063]</v>
      </c>
    </row>
    <row r="751" spans="2:24" hidden="1">
      <c r="B751" s="213" t="s">
        <v>1481</v>
      </c>
      <c r="D751" s="213" t="s">
        <v>1709</v>
      </c>
      <c r="F751" s="1121"/>
      <c r="G751" s="213">
        <v>0.12</v>
      </c>
      <c r="H751" s="1122" t="s">
        <v>1482</v>
      </c>
      <c r="K751" s="1073"/>
      <c r="O751" s="324" t="str">
        <f t="shared" si="251"/>
        <v>5.11 Wärmedämmputz</v>
      </c>
      <c r="P751" s="324" t="str">
        <f t="shared" ref="P751:P754" si="252">S751&amp;IF(T751&lt;&gt;""," "&amp;T751,"")&amp;IF(U751&lt;&gt;""," "&amp;U751,"")&amp;IF(V751&lt;&gt;""," "&amp;V751,"")</f>
        <v>5.11 Wärmedämmputz Kat. T1 [0,12]</v>
      </c>
      <c r="Q751" s="324"/>
      <c r="R751" s="338">
        <f t="shared" si="245"/>
        <v>0.12</v>
      </c>
      <c r="S751" s="330" t="str">
        <f t="shared" si="250"/>
        <v>5.11 Wärmedämmputz Kat. T1</v>
      </c>
      <c r="T751" s="339"/>
      <c r="U751" s="339" t="str">
        <f t="shared" si="246"/>
        <v>[0,12]</v>
      </c>
      <c r="X751" s="336"/>
    </row>
    <row r="752" spans="2:24" ht="12" hidden="1" customHeight="1">
      <c r="B752" s="1271" t="s">
        <v>3470</v>
      </c>
      <c r="C752" s="1271"/>
      <c r="D752" s="213" t="s">
        <v>1710</v>
      </c>
      <c r="F752" s="1121"/>
      <c r="G752" s="213">
        <v>0.24</v>
      </c>
      <c r="H752" s="1115" t="str">
        <f t="shared" si="248"/>
        <v>5/20</v>
      </c>
      <c r="K752" s="1073"/>
      <c r="O752" s="324" t="str">
        <f t="shared" si="251"/>
        <v/>
      </c>
      <c r="P752" s="324" t="str">
        <f t="shared" si="252"/>
        <v>5.11 Wärmedämmputz Kat. T2 [0,24]</v>
      </c>
      <c r="Q752" s="324"/>
      <c r="R752" s="338">
        <f t="shared" si="245"/>
        <v>0.24</v>
      </c>
      <c r="S752" s="330" t="str">
        <f t="shared" si="250"/>
        <v>5.11 Wärmedämmputz Kat. T2</v>
      </c>
      <c r="T752" s="339"/>
      <c r="U752" s="339" t="str">
        <f t="shared" si="246"/>
        <v>[0,24]</v>
      </c>
    </row>
    <row r="753" spans="2:21" hidden="1">
      <c r="B753" s="213" t="s">
        <v>3469</v>
      </c>
      <c r="D753" s="213" t="s">
        <v>1858</v>
      </c>
      <c r="F753" s="1121">
        <v>3.2000000000000001E-2</v>
      </c>
      <c r="G753" s="213">
        <v>3.4000000000000002E-2</v>
      </c>
      <c r="H753" s="1122" t="s">
        <v>3333</v>
      </c>
      <c r="I753" s="213" t="s">
        <v>803</v>
      </c>
      <c r="K753" s="1073"/>
      <c r="O753" s="324" t="str">
        <f t="shared" si="251"/>
        <v>5.12 Wärmedämmstoff</v>
      </c>
      <c r="P753" s="324" t="str">
        <f t="shared" si="252"/>
        <v>5.10 Holzfaserdämmstoff (WF) [0,034]</v>
      </c>
      <c r="Q753" s="324"/>
      <c r="R753" s="338">
        <f t="shared" si="245"/>
        <v>3.4000000000000002E-2</v>
      </c>
      <c r="S753" s="330" t="str">
        <f t="shared" si="250"/>
        <v>5.10 Holzfaserdämmstoff (WF)</v>
      </c>
      <c r="T753" s="339"/>
      <c r="U753" s="339" t="str">
        <f t="shared" si="246"/>
        <v>[0,034]</v>
      </c>
    </row>
    <row r="754" spans="2:21" ht="12" hidden="1" customHeight="1">
      <c r="B754" s="1114"/>
      <c r="C754" s="1114"/>
      <c r="D754" s="228" t="str">
        <f t="shared" ref="D754" si="253">D753</f>
        <v>5.10 Holzfaserdämmstoff (WF)</v>
      </c>
      <c r="F754" s="1121">
        <v>3.3000000000000002E-2</v>
      </c>
      <c r="G754" s="213">
        <f t="shared" ref="G754" si="254">G753+0.001</f>
        <v>3.5000000000000003E-2</v>
      </c>
      <c r="H754" s="1115" t="str">
        <f t="shared" ref="H754" si="255">H753</f>
        <v>3/5</v>
      </c>
      <c r="K754" s="1073"/>
      <c r="O754" s="324" t="str">
        <f t="shared" si="251"/>
        <v/>
      </c>
      <c r="P754" s="324" t="str">
        <f t="shared" si="252"/>
        <v>5.10 Holzfaserdämmstoff (WF) [0,035]</v>
      </c>
      <c r="Q754" s="324"/>
      <c r="R754" s="338">
        <f t="shared" si="245"/>
        <v>3.5000000000000003E-2</v>
      </c>
      <c r="S754" s="330" t="str">
        <f t="shared" si="250"/>
        <v>5.10 Holzfaserdämmstoff (WF)</v>
      </c>
      <c r="T754" s="339"/>
      <c r="U754" s="339" t="str">
        <f t="shared" si="246"/>
        <v>[0,035]</v>
      </c>
    </row>
    <row r="755" spans="2:21" ht="12" hidden="1" customHeight="1">
      <c r="B755" s="1114"/>
      <c r="C755" s="1114"/>
      <c r="D755" s="228"/>
      <c r="F755" s="1121"/>
      <c r="H755" s="1115"/>
      <c r="K755" s="1073"/>
      <c r="P755" s="324"/>
      <c r="Q755" s="324"/>
      <c r="R755" s="338"/>
      <c r="S755" s="330"/>
      <c r="T755" s="339"/>
      <c r="U755" s="339"/>
    </row>
    <row r="756" spans="2:21" ht="12" hidden="1" customHeight="1">
      <c r="B756" s="1114"/>
      <c r="C756" s="1114"/>
      <c r="D756" s="228"/>
      <c r="F756" s="1121"/>
      <c r="H756" s="1115"/>
      <c r="K756" s="1073"/>
      <c r="P756" s="324"/>
      <c r="Q756" s="324"/>
      <c r="R756" s="338"/>
      <c r="S756" s="330"/>
      <c r="T756" s="339"/>
      <c r="U756" s="339"/>
    </row>
    <row r="757" spans="2:21" ht="12" hidden="1" customHeight="1">
      <c r="B757" s="1114"/>
      <c r="C757" s="1114"/>
      <c r="D757" s="228"/>
      <c r="F757" s="1121"/>
      <c r="H757" s="1115"/>
      <c r="K757" s="1073"/>
      <c r="P757" s="324"/>
      <c r="Q757" s="324"/>
      <c r="R757" s="338"/>
      <c r="S757" s="330"/>
      <c r="T757" s="339"/>
      <c r="U757" s="339"/>
    </row>
    <row r="758" spans="2:21" ht="12" hidden="1" customHeight="1">
      <c r="B758" s="1114"/>
      <c r="C758" s="1114"/>
      <c r="D758" s="228"/>
      <c r="F758" s="1121"/>
      <c r="H758" s="1115"/>
      <c r="K758" s="1073"/>
      <c r="P758" s="324"/>
      <c r="Q758" s="324"/>
      <c r="R758" s="338"/>
      <c r="S758" s="330"/>
      <c r="T758" s="339"/>
      <c r="U758" s="339"/>
    </row>
    <row r="759" spans="2:21" ht="12" hidden="1" customHeight="1">
      <c r="B759" s="1114"/>
      <c r="C759" s="1114"/>
      <c r="D759" s="228"/>
      <c r="F759" s="1121"/>
      <c r="H759" s="1115"/>
      <c r="K759" s="1073"/>
      <c r="P759" s="324"/>
      <c r="Q759" s="324"/>
      <c r="R759" s="338"/>
      <c r="S759" s="330"/>
      <c r="T759" s="339"/>
      <c r="U759" s="339"/>
    </row>
    <row r="760" spans="2:21" ht="12" hidden="1" customHeight="1">
      <c r="B760" s="1114"/>
      <c r="C760" s="1114"/>
      <c r="D760" s="228"/>
      <c r="F760" s="1121"/>
      <c r="H760" s="1115"/>
      <c r="K760" s="1073"/>
      <c r="P760" s="324"/>
      <c r="Q760" s="324"/>
      <c r="R760" s="338"/>
      <c r="S760" s="330"/>
      <c r="T760" s="339"/>
      <c r="U760" s="339"/>
    </row>
    <row r="761" spans="2:21" ht="12" hidden="1" customHeight="1">
      <c r="B761" s="1114"/>
      <c r="C761" s="1114"/>
      <c r="D761" s="228"/>
      <c r="F761" s="1121"/>
      <c r="H761" s="1115"/>
      <c r="K761" s="1073"/>
      <c r="P761" s="324"/>
      <c r="Q761" s="324"/>
      <c r="R761" s="338"/>
      <c r="S761" s="330"/>
      <c r="T761" s="339"/>
      <c r="U761" s="339"/>
    </row>
    <row r="762" spans="2:21" ht="12" hidden="1" customHeight="1">
      <c r="B762" s="1114"/>
      <c r="C762" s="1114"/>
      <c r="D762" s="228"/>
      <c r="F762" s="1121"/>
      <c r="H762" s="1115"/>
      <c r="K762" s="1073"/>
      <c r="P762" s="324"/>
      <c r="Q762" s="324"/>
      <c r="R762" s="338"/>
      <c r="S762" s="330"/>
      <c r="T762" s="339"/>
      <c r="U762" s="339"/>
    </row>
    <row r="763" spans="2:21" ht="12" hidden="1" customHeight="1">
      <c r="B763" s="1114"/>
      <c r="C763" s="1114"/>
      <c r="D763" s="228"/>
      <c r="F763" s="1121"/>
      <c r="H763" s="1115"/>
      <c r="K763" s="1073"/>
      <c r="P763" s="324"/>
      <c r="Q763" s="324"/>
      <c r="R763" s="338"/>
      <c r="S763" s="330"/>
      <c r="T763" s="339"/>
      <c r="U763" s="339"/>
    </row>
    <row r="764" spans="2:21" ht="12" hidden="1" customHeight="1">
      <c r="B764" s="1114"/>
      <c r="C764" s="1114"/>
      <c r="D764" s="228"/>
      <c r="F764" s="1121"/>
      <c r="H764" s="1115"/>
      <c r="K764" s="1073"/>
      <c r="P764" s="324"/>
      <c r="Q764" s="324"/>
      <c r="R764" s="338"/>
      <c r="S764" s="330"/>
      <c r="T764" s="339"/>
      <c r="U764" s="339"/>
    </row>
    <row r="765" spans="2:21" ht="12" hidden="1" customHeight="1">
      <c r="B765" s="1114"/>
      <c r="C765" s="1114"/>
      <c r="D765" s="228"/>
      <c r="F765" s="1121"/>
      <c r="H765" s="1115"/>
      <c r="K765" s="1073"/>
      <c r="P765" s="324"/>
      <c r="Q765" s="324"/>
      <c r="R765" s="338"/>
      <c r="S765" s="330"/>
      <c r="T765" s="339"/>
      <c r="U765" s="339"/>
    </row>
    <row r="766" spans="2:21" ht="12" hidden="1" customHeight="1">
      <c r="B766" s="1114"/>
      <c r="C766" s="1114"/>
      <c r="D766" s="228"/>
      <c r="F766" s="1121"/>
      <c r="H766" s="1115"/>
      <c r="K766" s="1073"/>
      <c r="P766" s="324"/>
      <c r="Q766" s="324"/>
      <c r="R766" s="338"/>
      <c r="S766" s="330"/>
      <c r="T766" s="339"/>
      <c r="U766" s="339"/>
    </row>
    <row r="767" spans="2:21" ht="12" hidden="1" customHeight="1">
      <c r="B767" s="1114"/>
      <c r="C767" s="1114"/>
      <c r="D767" s="228"/>
      <c r="F767" s="1121"/>
      <c r="H767" s="1115"/>
      <c r="K767" s="1073"/>
      <c r="P767" s="324"/>
      <c r="Q767" s="324"/>
      <c r="R767" s="338"/>
      <c r="S767" s="330"/>
      <c r="T767" s="339"/>
      <c r="U767" s="339"/>
    </row>
    <row r="768" spans="2:21" ht="12" hidden="1" customHeight="1">
      <c r="B768" s="1114"/>
      <c r="C768" s="1114"/>
      <c r="D768" s="228"/>
      <c r="F768" s="1121"/>
      <c r="H768" s="1115"/>
      <c r="K768" s="1073"/>
      <c r="P768" s="324"/>
      <c r="Q768" s="324"/>
      <c r="R768" s="338"/>
      <c r="S768" s="330"/>
      <c r="T768" s="339"/>
      <c r="U768" s="339"/>
    </row>
    <row r="769" spans="1:25" ht="12" hidden="1" customHeight="1">
      <c r="B769" s="1114"/>
      <c r="C769" s="1114"/>
      <c r="D769" s="228"/>
      <c r="F769" s="1121"/>
      <c r="H769" s="1115"/>
      <c r="K769" s="1073"/>
      <c r="P769" s="324"/>
      <c r="Q769" s="324"/>
      <c r="R769" s="338"/>
      <c r="S769" s="330"/>
      <c r="T769" s="339"/>
      <c r="U769" s="339"/>
    </row>
    <row r="770" spans="1:25" ht="12" hidden="1" customHeight="1">
      <c r="B770" s="1114"/>
      <c r="C770" s="1114"/>
      <c r="D770" s="228"/>
      <c r="F770" s="1121"/>
      <c r="H770" s="1115"/>
      <c r="K770" s="1073"/>
      <c r="P770" s="324"/>
      <c r="Q770" s="324"/>
      <c r="R770" s="338"/>
      <c r="S770" s="330"/>
      <c r="T770" s="339"/>
      <c r="U770" s="339"/>
    </row>
    <row r="771" spans="1:25" ht="12" hidden="1" customHeight="1">
      <c r="B771" s="1114"/>
      <c r="C771" s="1114"/>
      <c r="D771" s="228"/>
      <c r="F771" s="1121"/>
      <c r="H771" s="1115"/>
      <c r="K771" s="1073"/>
      <c r="P771" s="324"/>
      <c r="Q771" s="324"/>
      <c r="R771" s="338"/>
      <c r="S771" s="330"/>
      <c r="T771" s="339"/>
      <c r="U771" s="339"/>
    </row>
    <row r="772" spans="1:25" ht="12" hidden="1" customHeight="1">
      <c r="B772" s="1114"/>
      <c r="C772" s="1114"/>
      <c r="D772" s="228"/>
      <c r="F772" s="1121"/>
      <c r="H772" s="1115"/>
      <c r="K772" s="1073"/>
      <c r="P772" s="324"/>
      <c r="Q772" s="324"/>
      <c r="R772" s="338"/>
      <c r="S772" s="330"/>
      <c r="T772" s="339"/>
      <c r="U772" s="339"/>
    </row>
    <row r="773" spans="1:25" ht="12" hidden="1" customHeight="1">
      <c r="A773" s="213" t="s">
        <v>3460</v>
      </c>
      <c r="B773" s="1114"/>
      <c r="C773" s="1114"/>
      <c r="F773" s="1121"/>
      <c r="H773" s="1115"/>
      <c r="K773" s="1073" t="s">
        <v>3447</v>
      </c>
      <c r="O773" s="324" t="s">
        <v>987</v>
      </c>
      <c r="P773" s="324"/>
      <c r="Q773" s="324"/>
      <c r="R773" s="338"/>
      <c r="S773" s="330"/>
      <c r="T773" s="339"/>
      <c r="U773" s="339"/>
    </row>
    <row r="774" spans="1:25" ht="12" hidden="1" customHeight="1">
      <c r="A774" s="213" t="s">
        <v>3461</v>
      </c>
      <c r="B774" s="1114"/>
      <c r="C774" s="1114"/>
      <c r="F774" s="1121"/>
      <c r="H774" s="1115"/>
      <c r="K774" s="1073"/>
      <c r="P774" s="324"/>
      <c r="Q774" s="324"/>
      <c r="R774" s="338"/>
      <c r="S774" s="330"/>
      <c r="T774" s="339"/>
      <c r="U774" s="339"/>
    </row>
    <row r="775" spans="1:25" ht="12" hidden="1" customHeight="1">
      <c r="A775" s="213" t="s">
        <v>3462</v>
      </c>
      <c r="B775" s="1114"/>
      <c r="C775" s="1114"/>
      <c r="F775" s="1121"/>
      <c r="H775" s="1115"/>
      <c r="K775" s="1073"/>
      <c r="P775" s="324"/>
      <c r="Q775" s="324"/>
      <c r="R775" s="338"/>
      <c r="S775" s="330"/>
      <c r="T775" s="339"/>
      <c r="U775" s="339"/>
    </row>
    <row r="776" spans="1:25" ht="12" hidden="1" customHeight="1">
      <c r="A776" s="213" t="s">
        <v>3463</v>
      </c>
      <c r="B776" s="1114"/>
      <c r="C776" s="1114"/>
      <c r="F776" s="1121"/>
      <c r="H776" s="1115"/>
      <c r="K776" s="1073"/>
      <c r="P776" s="324"/>
      <c r="Q776" s="324"/>
      <c r="R776" s="338"/>
      <c r="S776" s="330"/>
      <c r="T776" s="339"/>
      <c r="U776" s="339"/>
    </row>
    <row r="777" spans="1:25" ht="12" hidden="1" customHeight="1">
      <c r="A777" s="213" t="s">
        <v>3464</v>
      </c>
      <c r="B777" s="1114"/>
      <c r="C777" s="1114"/>
      <c r="F777" s="1121"/>
      <c r="H777" s="1115"/>
      <c r="K777" s="1073"/>
      <c r="P777" s="324"/>
      <c r="Q777" s="324"/>
      <c r="R777" s="338"/>
      <c r="S777" s="330"/>
      <c r="T777" s="339"/>
      <c r="U777" s="339"/>
    </row>
    <row r="778" spans="1:25" ht="12" hidden="1" customHeight="1">
      <c r="A778" s="213" t="s">
        <v>3465</v>
      </c>
      <c r="B778" s="1114"/>
      <c r="C778" s="1114"/>
      <c r="F778" s="1121"/>
      <c r="H778" s="1115"/>
      <c r="K778" s="1073"/>
      <c r="P778" s="324"/>
      <c r="Q778" s="324"/>
      <c r="R778" s="338"/>
      <c r="S778" s="330"/>
      <c r="T778" s="339"/>
      <c r="U778" s="339"/>
    </row>
    <row r="779" spans="1:25" ht="12" hidden="1" customHeight="1">
      <c r="A779" s="213" t="s">
        <v>3466</v>
      </c>
      <c r="B779" s="1114"/>
      <c r="C779" s="1114"/>
      <c r="F779" s="1121"/>
      <c r="H779" s="1115"/>
      <c r="K779" s="1073"/>
      <c r="P779" s="324"/>
      <c r="Q779" s="324"/>
      <c r="R779" s="338"/>
      <c r="S779" s="330"/>
      <c r="T779" s="339"/>
      <c r="U779" s="339"/>
    </row>
    <row r="780" spans="1:25" ht="12" hidden="1" customHeight="1">
      <c r="A780" s="213" t="s">
        <v>3467</v>
      </c>
      <c r="B780" s="1114"/>
      <c r="C780" s="1114"/>
      <c r="F780" s="1121"/>
      <c r="H780" s="1115"/>
      <c r="K780" s="1073"/>
      <c r="P780" s="324"/>
      <c r="Q780" s="324"/>
      <c r="R780" s="338"/>
      <c r="S780" s="330"/>
      <c r="T780" s="339"/>
      <c r="U780" s="339"/>
    </row>
    <row r="781" spans="1:25" ht="12" hidden="1" customHeight="1">
      <c r="A781" s="213" t="s">
        <v>3468</v>
      </c>
      <c r="B781" s="1114"/>
      <c r="C781" s="1114"/>
      <c r="F781" s="1121"/>
      <c r="H781" s="1115"/>
      <c r="K781" s="1073"/>
      <c r="P781" s="324"/>
      <c r="Q781" s="324"/>
      <c r="R781" s="338"/>
      <c r="S781" s="330"/>
      <c r="T781" s="339"/>
      <c r="U781" s="339"/>
    </row>
    <row r="783" spans="1:25" ht="13.8">
      <c r="A783" s="498" t="s">
        <v>2358</v>
      </c>
      <c r="B783" s="66"/>
      <c r="C783" s="66"/>
      <c r="D783" s="66"/>
      <c r="E783" s="66"/>
      <c r="F783" s="66"/>
      <c r="G783" s="165"/>
      <c r="H783" s="66"/>
      <c r="I783" s="66"/>
      <c r="J783" s="1"/>
      <c r="K783" s="122">
        <f>ROW(A784)</f>
        <v>784</v>
      </c>
      <c r="L783" s="122">
        <f>ROW(A925)</f>
        <v>925</v>
      </c>
      <c r="M783" s="122"/>
      <c r="N783" s="122"/>
    </row>
    <row r="784" spans="1:25" s="180" customFormat="1" ht="72" hidden="1">
      <c r="A784" s="222" t="s">
        <v>823</v>
      </c>
      <c r="B784" s="222" t="s">
        <v>1153</v>
      </c>
      <c r="C784" s="222"/>
      <c r="D784" s="222" t="s">
        <v>1166</v>
      </c>
      <c r="E784" s="222" t="s">
        <v>1168</v>
      </c>
      <c r="F784" s="222" t="s">
        <v>1170</v>
      </c>
      <c r="G784" s="222" t="s">
        <v>1172</v>
      </c>
      <c r="H784" s="222" t="s">
        <v>1173</v>
      </c>
      <c r="I784" s="222" t="s">
        <v>1185</v>
      </c>
      <c r="L784" s="217"/>
      <c r="O784" s="336"/>
      <c r="P784" s="340"/>
      <c r="Q784" s="340"/>
      <c r="R784" s="336"/>
      <c r="S784" s="336"/>
      <c r="T784" s="337"/>
      <c r="U784" s="336"/>
      <c r="V784" s="328"/>
      <c r="W784" s="323"/>
      <c r="X784" s="323"/>
      <c r="Y784" s="323"/>
    </row>
    <row r="785" spans="1:25" hidden="1">
      <c r="A785" s="220"/>
      <c r="B785" s="219"/>
      <c r="C785" s="219"/>
      <c r="D785" s="219" t="s">
        <v>1167</v>
      </c>
      <c r="E785" s="220" t="s">
        <v>1169</v>
      </c>
      <c r="F785" s="221" t="s">
        <v>1171</v>
      </c>
      <c r="G785" s="221" t="s">
        <v>1174</v>
      </c>
      <c r="H785" s="221" t="s">
        <v>1174</v>
      </c>
      <c r="I785" s="219"/>
      <c r="O785" s="338" t="s">
        <v>946</v>
      </c>
      <c r="P785" s="338" t="s">
        <v>1668</v>
      </c>
      <c r="Q785" s="338"/>
      <c r="R785" s="338" t="s">
        <v>1669</v>
      </c>
      <c r="S785" s="338"/>
      <c r="U785" s="338"/>
    </row>
    <row r="786" spans="1:25" hidden="1">
      <c r="A786" s="38" t="s">
        <v>1204</v>
      </c>
      <c r="B786" s="213" t="s">
        <v>1223</v>
      </c>
      <c r="D786" s="37">
        <v>2100</v>
      </c>
      <c r="E786" s="38">
        <v>0.7</v>
      </c>
      <c r="F786" s="37">
        <v>1000</v>
      </c>
      <c r="G786" s="37">
        <v>50000</v>
      </c>
      <c r="H786" s="37">
        <v>50000</v>
      </c>
      <c r="L786" s="213"/>
      <c r="M786" s="213"/>
      <c r="N786" s="213"/>
      <c r="O786" s="324" t="str">
        <f t="shared" ref="O786:O817" si="256">IF(A786&gt;0,A786,"")</f>
        <v>1 Asphalt</v>
      </c>
      <c r="P786" s="324" t="str">
        <f t="shared" ref="P786:P849" si="257">S786&amp;IF(T786&lt;&gt;""," "&amp;T786,"")&amp;IF(U786&lt;&gt;""," "&amp;U786,"")&amp;IF(V786&lt;&gt;""," "&amp;V786,"")</f>
        <v>1.1 Asphalt [0,7]</v>
      </c>
      <c r="Q786" s="324"/>
      <c r="R786" s="338">
        <f t="shared" ref="R786:R817" si="258">E786</f>
        <v>0.7</v>
      </c>
      <c r="S786" s="339" t="str">
        <f t="shared" ref="S786:S817" si="259">B786</f>
        <v>1.1 Asphalt</v>
      </c>
      <c r="U786" s="339" t="str">
        <f t="shared" ref="U786:U817" si="260">IF(E786&gt;0,"["&amp;E786&amp;"]","")</f>
        <v>[0,7]</v>
      </c>
      <c r="W786" s="324">
        <f>MATCH(X786,$O$786:$O$918,0)+ROW($X$785)</f>
        <v>786</v>
      </c>
      <c r="X786" s="331" t="str">
        <f>O786</f>
        <v>1 Asphalt</v>
      </c>
      <c r="Y786" s="324" t="str">
        <f t="shared" ref="Y786:Y803" si="261">"p"&amp;W786&amp;":"&amp;"p"&amp;W787-1</f>
        <v>p786:p786</v>
      </c>
    </row>
    <row r="787" spans="1:25" hidden="1">
      <c r="A787" s="38" t="s">
        <v>1205</v>
      </c>
      <c r="B787" s="37" t="s">
        <v>1889</v>
      </c>
      <c r="C787" s="37"/>
      <c r="D787" s="37">
        <v>1050</v>
      </c>
      <c r="E787" s="38">
        <v>0.17</v>
      </c>
      <c r="F787" s="37">
        <v>1000</v>
      </c>
      <c r="G787" s="37">
        <v>50000</v>
      </c>
      <c r="H787" s="37">
        <v>50000</v>
      </c>
      <c r="L787" s="213"/>
      <c r="M787" s="213"/>
      <c r="N787" s="213"/>
      <c r="O787" s="324" t="str">
        <f t="shared" si="256"/>
        <v>2 Bitumen</v>
      </c>
      <c r="P787" s="324" t="str">
        <f t="shared" si="257"/>
        <v>2.1 Bitumen als Stoff [0,17]</v>
      </c>
      <c r="Q787" s="324"/>
      <c r="R787" s="338">
        <f t="shared" si="258"/>
        <v>0.17</v>
      </c>
      <c r="S787" s="339" t="str">
        <f t="shared" si="259"/>
        <v>2.1 Bitumen als Stoff</v>
      </c>
      <c r="T787" s="339"/>
      <c r="U787" s="339" t="str">
        <f t="shared" si="260"/>
        <v>[0,17]</v>
      </c>
      <c r="W787" s="324">
        <f t="shared" ref="W787:W805" si="262">MATCH(X787,$O$786:$O$918,0)+ROW($X$785)</f>
        <v>787</v>
      </c>
      <c r="X787" s="332" t="str">
        <f>O787</f>
        <v>2 Bitumen</v>
      </c>
      <c r="Y787" s="324" t="str">
        <f t="shared" si="261"/>
        <v>p787:p788</v>
      </c>
    </row>
    <row r="788" spans="1:25" hidden="1">
      <c r="B788" s="37" t="s">
        <v>1890</v>
      </c>
      <c r="C788" s="37"/>
      <c r="D788" s="37">
        <v>1100</v>
      </c>
      <c r="E788" s="38">
        <v>0.23</v>
      </c>
      <c r="F788" s="37">
        <v>1000</v>
      </c>
      <c r="G788" s="37">
        <v>50000</v>
      </c>
      <c r="H788" s="37">
        <v>50000</v>
      </c>
      <c r="L788" s="213"/>
      <c r="M788" s="213"/>
      <c r="N788" s="213"/>
      <c r="O788" s="324" t="str">
        <f t="shared" si="256"/>
        <v/>
      </c>
      <c r="P788" s="324" t="str">
        <f t="shared" si="257"/>
        <v>2.2 Bitumen Membran/Bahn [0,23]</v>
      </c>
      <c r="Q788" s="324"/>
      <c r="R788" s="338">
        <f t="shared" si="258"/>
        <v>0.23</v>
      </c>
      <c r="S788" s="339" t="str">
        <f t="shared" si="259"/>
        <v>2.2 Bitumen Membran/Bahn</v>
      </c>
      <c r="T788" s="339"/>
      <c r="U788" s="339" t="str">
        <f t="shared" si="260"/>
        <v>[0,23]</v>
      </c>
      <c r="W788" s="324">
        <f t="shared" si="262"/>
        <v>789</v>
      </c>
      <c r="X788" s="332" t="str">
        <f>O789</f>
        <v>3 Beton</v>
      </c>
      <c r="Y788" s="324" t="str">
        <f t="shared" si="261"/>
        <v>p789:p794</v>
      </c>
    </row>
    <row r="789" spans="1:25" hidden="1">
      <c r="A789" s="38" t="s">
        <v>1206</v>
      </c>
      <c r="B789" s="37" t="s">
        <v>1883</v>
      </c>
      <c r="C789" s="37"/>
      <c r="D789" s="37">
        <v>1800</v>
      </c>
      <c r="E789" s="38">
        <v>1.1499999999999999</v>
      </c>
      <c r="F789" s="37">
        <v>1000</v>
      </c>
      <c r="G789" s="37">
        <v>100</v>
      </c>
      <c r="H789" s="37">
        <v>60</v>
      </c>
      <c r="I789" s="213" t="s">
        <v>802</v>
      </c>
      <c r="L789" s="213"/>
      <c r="M789" s="213"/>
      <c r="N789" s="213"/>
      <c r="O789" s="324" t="str">
        <f t="shared" si="256"/>
        <v>3 Beton</v>
      </c>
      <c r="P789" s="324" t="str">
        <f>S789&amp;IF(T789&lt;&gt;""," "&amp;T789,"")&amp;IF(U789&lt;&gt;""," "&amp;U789,"")&amp;IF(V789&lt;&gt;""," "&amp;V789,"")</f>
        <v>3.1 Beton mittlere Rohdichte - rho 1800 [1,15]</v>
      </c>
      <c r="Q789" s="324"/>
      <c r="R789" s="338">
        <f t="shared" si="258"/>
        <v>1.1499999999999999</v>
      </c>
      <c r="S789" s="339" t="str">
        <f t="shared" si="259"/>
        <v>3.1 Beton mittlere Rohdichte</v>
      </c>
      <c r="T789" s="339" t="str">
        <f t="shared" ref="T789:T794" si="263" xml:space="preserve"> "- rho "&amp;D789</f>
        <v>- rho 1800</v>
      </c>
      <c r="U789" s="339" t="str">
        <f t="shared" si="260"/>
        <v>[1,15]</v>
      </c>
      <c r="W789" s="324">
        <f t="shared" si="262"/>
        <v>795</v>
      </c>
      <c r="X789" s="332" t="str">
        <f>O795</f>
        <v>4 Fußbodenbeläge</v>
      </c>
      <c r="Y789" s="324" t="str">
        <f t="shared" si="261"/>
        <v>p795:p803</v>
      </c>
    </row>
    <row r="790" spans="1:25" hidden="1">
      <c r="B790" s="37" t="s">
        <v>1884</v>
      </c>
      <c r="C790" s="37"/>
      <c r="D790" s="37">
        <v>2000</v>
      </c>
      <c r="E790" s="38">
        <v>1.35</v>
      </c>
      <c r="F790" s="37">
        <v>1000</v>
      </c>
      <c r="G790" s="37">
        <v>100</v>
      </c>
      <c r="H790" s="37">
        <v>60</v>
      </c>
      <c r="L790" s="213"/>
      <c r="M790" s="213"/>
      <c r="N790" s="213"/>
      <c r="O790" s="324" t="str">
        <f t="shared" si="256"/>
        <v/>
      </c>
      <c r="P790" s="324" t="str">
        <f t="shared" si="257"/>
        <v>3.2 Beton mittlere Rohdichte - rho 2000 [1,35]</v>
      </c>
      <c r="Q790" s="324"/>
      <c r="R790" s="338">
        <f t="shared" si="258"/>
        <v>1.35</v>
      </c>
      <c r="S790" s="339" t="str">
        <f t="shared" si="259"/>
        <v>3.2 Beton mittlere Rohdichte</v>
      </c>
      <c r="T790" s="339" t="str">
        <f t="shared" si="263"/>
        <v>- rho 2000</v>
      </c>
      <c r="U790" s="339" t="str">
        <f t="shared" si="260"/>
        <v>[1,35]</v>
      </c>
      <c r="W790" s="324">
        <f t="shared" si="262"/>
        <v>804</v>
      </c>
      <c r="X790" s="332" t="str">
        <f>O804</f>
        <v>5 Gase</v>
      </c>
      <c r="Y790" s="324" t="str">
        <f t="shared" si="261"/>
        <v>p804:p809</v>
      </c>
    </row>
    <row r="791" spans="1:25" hidden="1">
      <c r="B791" s="37" t="s">
        <v>1885</v>
      </c>
      <c r="C791" s="37"/>
      <c r="D791" s="37">
        <v>2200</v>
      </c>
      <c r="E791" s="38">
        <v>1.65</v>
      </c>
      <c r="F791" s="37">
        <v>1000</v>
      </c>
      <c r="G791" s="37">
        <v>120</v>
      </c>
      <c r="H791" s="37">
        <v>70</v>
      </c>
      <c r="L791" s="213"/>
      <c r="M791" s="213"/>
      <c r="N791" s="213"/>
      <c r="O791" s="324" t="str">
        <f t="shared" si="256"/>
        <v/>
      </c>
      <c r="P791" s="324" t="str">
        <f t="shared" si="257"/>
        <v>3.3 Beton mittlere Rohdichte - rho 2200 [1,65]</v>
      </c>
      <c r="Q791" s="324"/>
      <c r="R791" s="338">
        <f t="shared" si="258"/>
        <v>1.65</v>
      </c>
      <c r="S791" s="339" t="str">
        <f t="shared" si="259"/>
        <v>3.3 Beton mittlere Rohdichte</v>
      </c>
      <c r="T791" s="339" t="str">
        <f t="shared" si="263"/>
        <v>- rho 2200</v>
      </c>
      <c r="U791" s="339" t="str">
        <f t="shared" si="260"/>
        <v>[1,65]</v>
      </c>
      <c r="W791" s="324">
        <f t="shared" si="262"/>
        <v>810</v>
      </c>
      <c r="X791" s="332" t="str">
        <f>O810</f>
        <v>6 Glas</v>
      </c>
      <c r="Y791" s="324" t="str">
        <f t="shared" si="261"/>
        <v>p810:p812</v>
      </c>
    </row>
    <row r="792" spans="1:25" hidden="1">
      <c r="B792" s="37" t="s">
        <v>1886</v>
      </c>
      <c r="C792" s="37"/>
      <c r="D792" s="37">
        <v>2400</v>
      </c>
      <c r="E792" s="38">
        <v>2</v>
      </c>
      <c r="F792" s="37">
        <v>1000</v>
      </c>
      <c r="G792" s="37">
        <v>130</v>
      </c>
      <c r="H792" s="37">
        <v>80</v>
      </c>
      <c r="L792" s="213"/>
      <c r="M792" s="213"/>
      <c r="N792" s="213"/>
      <c r="O792" s="324" t="str">
        <f t="shared" si="256"/>
        <v/>
      </c>
      <c r="P792" s="324" t="str">
        <f t="shared" si="257"/>
        <v>3.4 Beton hohe Rohdichte - rho 2400 [2]</v>
      </c>
      <c r="Q792" s="324"/>
      <c r="R792" s="338">
        <f t="shared" si="258"/>
        <v>2</v>
      </c>
      <c r="S792" s="339" t="str">
        <f t="shared" si="259"/>
        <v>3.4 Beton hohe Rohdichte</v>
      </c>
      <c r="T792" s="339" t="str">
        <f t="shared" si="263"/>
        <v>- rho 2400</v>
      </c>
      <c r="U792" s="339" t="str">
        <f t="shared" si="260"/>
        <v>[2]</v>
      </c>
      <c r="W792" s="324">
        <f t="shared" si="262"/>
        <v>813</v>
      </c>
      <c r="X792" s="332" t="str">
        <f>O813</f>
        <v>7 Wasser</v>
      </c>
      <c r="Y792" s="324" t="str">
        <f t="shared" si="261"/>
        <v>p813:p821</v>
      </c>
    </row>
    <row r="793" spans="1:25" hidden="1">
      <c r="B793" s="37" t="s">
        <v>1887</v>
      </c>
      <c r="C793" s="37"/>
      <c r="D793" s="37">
        <v>2300</v>
      </c>
      <c r="E793" s="38">
        <v>2.2999999999999998</v>
      </c>
      <c r="F793" s="37">
        <v>1000</v>
      </c>
      <c r="G793" s="37">
        <v>130</v>
      </c>
      <c r="H793" s="37">
        <v>80</v>
      </c>
      <c r="L793" s="213"/>
      <c r="M793" s="213"/>
      <c r="N793" s="213"/>
      <c r="O793" s="324" t="str">
        <f t="shared" si="256"/>
        <v/>
      </c>
      <c r="P793" s="324" t="str">
        <f t="shared" si="257"/>
        <v>3.5 Beton armiert (mit 1 % Stahl) - rho 2300 [2,3]</v>
      </c>
      <c r="Q793" s="324"/>
      <c r="R793" s="338">
        <f t="shared" si="258"/>
        <v>2.2999999999999998</v>
      </c>
      <c r="S793" s="339" t="str">
        <f t="shared" si="259"/>
        <v>3.5 Beton armiert (mit 1 % Stahl)</v>
      </c>
      <c r="T793" s="339" t="str">
        <f t="shared" si="263"/>
        <v>- rho 2300</v>
      </c>
      <c r="U793" s="339" t="str">
        <f t="shared" si="260"/>
        <v>[2,3]</v>
      </c>
      <c r="W793" s="324">
        <f t="shared" si="262"/>
        <v>822</v>
      </c>
      <c r="X793" s="332" t="str">
        <f>O822</f>
        <v>8 Metalle</v>
      </c>
      <c r="Y793" s="324" t="str">
        <f t="shared" si="261"/>
        <v>p822:p831</v>
      </c>
    </row>
    <row r="794" spans="1:25" hidden="1">
      <c r="B794" s="37" t="s">
        <v>1888</v>
      </c>
      <c r="C794" s="37"/>
      <c r="D794" s="37">
        <v>2400</v>
      </c>
      <c r="E794" s="38">
        <v>2.5</v>
      </c>
      <c r="F794" s="37">
        <v>1000</v>
      </c>
      <c r="G794" s="37">
        <v>130</v>
      </c>
      <c r="H794" s="37">
        <v>80</v>
      </c>
      <c r="L794" s="213"/>
      <c r="M794" s="213"/>
      <c r="N794" s="213"/>
      <c r="O794" s="324" t="str">
        <f t="shared" si="256"/>
        <v/>
      </c>
      <c r="P794" s="324" t="str">
        <f t="shared" si="257"/>
        <v>3.6 Beton armiert (mit 2 % Stahl) - rho 2400 [2,5]</v>
      </c>
      <c r="Q794" s="324"/>
      <c r="R794" s="338">
        <f t="shared" si="258"/>
        <v>2.5</v>
      </c>
      <c r="S794" s="339" t="str">
        <f t="shared" si="259"/>
        <v>3.6 Beton armiert (mit 2 % Stahl)</v>
      </c>
      <c r="T794" s="339" t="str">
        <f t="shared" si="263"/>
        <v>- rho 2400</v>
      </c>
      <c r="U794" s="339" t="str">
        <f t="shared" si="260"/>
        <v>[2,5]</v>
      </c>
      <c r="W794" s="324">
        <f t="shared" si="262"/>
        <v>832</v>
      </c>
      <c r="X794" s="332" t="str">
        <f>O832</f>
        <v>9 Massive Kunststoffe</v>
      </c>
      <c r="Y794" s="324" t="str">
        <f t="shared" si="261"/>
        <v>p832:p848</v>
      </c>
    </row>
    <row r="795" spans="1:25" hidden="1">
      <c r="A795" s="38" t="s">
        <v>1207</v>
      </c>
      <c r="B795" s="37" t="s">
        <v>1224</v>
      </c>
      <c r="C795" s="37"/>
      <c r="D795" s="37">
        <v>1200</v>
      </c>
      <c r="E795" s="38">
        <v>0.17</v>
      </c>
      <c r="F795" s="37">
        <v>1400</v>
      </c>
      <c r="G795" s="37">
        <v>10000</v>
      </c>
      <c r="H795" s="37">
        <v>10000</v>
      </c>
      <c r="L795" s="213"/>
      <c r="M795" s="213"/>
      <c r="N795" s="213"/>
      <c r="O795" s="324" t="str">
        <f t="shared" si="256"/>
        <v>4 Fußbodenbeläge</v>
      </c>
      <c r="P795" s="324" t="str">
        <f t="shared" si="257"/>
        <v>4.1 Gummi [0,17]</v>
      </c>
      <c r="Q795" s="324"/>
      <c r="R795" s="338">
        <f t="shared" si="258"/>
        <v>0.17</v>
      </c>
      <c r="S795" s="339" t="str">
        <f t="shared" si="259"/>
        <v>4.1 Gummi</v>
      </c>
      <c r="T795" s="339"/>
      <c r="U795" s="339" t="str">
        <f t="shared" si="260"/>
        <v>[0,17]</v>
      </c>
      <c r="W795" s="324">
        <f t="shared" si="262"/>
        <v>849</v>
      </c>
      <c r="X795" s="332" t="str">
        <f>O849</f>
        <v>10 Gummi</v>
      </c>
      <c r="Y795" s="324" t="str">
        <f t="shared" si="261"/>
        <v>p849:p857</v>
      </c>
    </row>
    <row r="796" spans="1:25" hidden="1">
      <c r="B796" s="37" t="s">
        <v>1225</v>
      </c>
      <c r="C796" s="37"/>
      <c r="D796" s="37">
        <v>1700</v>
      </c>
      <c r="E796" s="38">
        <v>0.25</v>
      </c>
      <c r="F796" s="37">
        <v>1400</v>
      </c>
      <c r="G796" s="37">
        <v>10000</v>
      </c>
      <c r="H796" s="37">
        <v>10000</v>
      </c>
      <c r="L796" s="213"/>
      <c r="M796" s="213"/>
      <c r="N796" s="213"/>
      <c r="O796" s="324" t="str">
        <f t="shared" si="256"/>
        <v/>
      </c>
      <c r="P796" s="324" t="str">
        <f t="shared" si="257"/>
        <v>4.2 Kunststoff [0,25]</v>
      </c>
      <c r="Q796" s="324"/>
      <c r="R796" s="338">
        <f t="shared" si="258"/>
        <v>0.25</v>
      </c>
      <c r="S796" s="339" t="str">
        <f t="shared" si="259"/>
        <v>4.2 Kunststoff</v>
      </c>
      <c r="T796" s="339"/>
      <c r="U796" s="339" t="str">
        <f t="shared" si="260"/>
        <v>[0,25]</v>
      </c>
      <c r="W796" s="324">
        <f t="shared" si="262"/>
        <v>858</v>
      </c>
      <c r="X796" s="332" t="str">
        <f>O858</f>
        <v>11 Dichtungsstoffe, Dichtungen und wärmetechnische Trennungen</v>
      </c>
      <c r="Y796" s="324" t="str">
        <f t="shared" si="261"/>
        <v>p858:p866</v>
      </c>
    </row>
    <row r="797" spans="1:25" hidden="1">
      <c r="B797" s="37" t="s">
        <v>1226</v>
      </c>
      <c r="C797" s="37"/>
      <c r="D797" s="37">
        <v>270</v>
      </c>
      <c r="E797" s="38">
        <v>0.1</v>
      </c>
      <c r="F797" s="37">
        <v>1400</v>
      </c>
      <c r="G797" s="37">
        <v>10000</v>
      </c>
      <c r="H797" s="37">
        <v>10000</v>
      </c>
      <c r="L797" s="213"/>
      <c r="M797" s="213"/>
      <c r="N797" s="213"/>
      <c r="O797" s="324" t="str">
        <f t="shared" si="256"/>
        <v/>
      </c>
      <c r="P797" s="324" t="str">
        <f t="shared" si="257"/>
        <v>4.3 Unterlagen, poröser Gummi oder Kunststoff [0,1]</v>
      </c>
      <c r="Q797" s="324"/>
      <c r="R797" s="338">
        <f t="shared" si="258"/>
        <v>0.1</v>
      </c>
      <c r="S797" s="339" t="str">
        <f t="shared" si="259"/>
        <v>4.3 Unterlagen, poröser Gummi oder Kunststoff</v>
      </c>
      <c r="T797" s="339"/>
      <c r="U797" s="339" t="str">
        <f t="shared" si="260"/>
        <v>[0,1]</v>
      </c>
      <c r="W797" s="324">
        <f t="shared" si="262"/>
        <v>867</v>
      </c>
      <c r="X797" s="332" t="str">
        <f>O867</f>
        <v>12 Gips</v>
      </c>
      <c r="Y797" s="324" t="str">
        <f t="shared" si="261"/>
        <v>p867:p872</v>
      </c>
    </row>
    <row r="798" spans="1:25" hidden="1">
      <c r="B798" s="37" t="s">
        <v>1227</v>
      </c>
      <c r="C798" s="37"/>
      <c r="D798" s="37">
        <v>120</v>
      </c>
      <c r="E798" s="38">
        <v>0.05</v>
      </c>
      <c r="F798" s="37">
        <v>1300</v>
      </c>
      <c r="G798" s="37">
        <v>20</v>
      </c>
      <c r="H798" s="37">
        <v>15</v>
      </c>
      <c r="L798" s="213"/>
      <c r="M798" s="213"/>
      <c r="N798" s="213"/>
      <c r="O798" s="324" t="str">
        <f t="shared" si="256"/>
        <v/>
      </c>
      <c r="P798" s="324" t="str">
        <f t="shared" si="257"/>
        <v>4.4 Filzunterlage [0,05]</v>
      </c>
      <c r="Q798" s="324"/>
      <c r="R798" s="338">
        <f t="shared" si="258"/>
        <v>0.05</v>
      </c>
      <c r="S798" s="339" t="str">
        <f t="shared" si="259"/>
        <v>4.4 Filzunterlage</v>
      </c>
      <c r="T798" s="339"/>
      <c r="U798" s="339" t="str">
        <f t="shared" si="260"/>
        <v>[0,05]</v>
      </c>
      <c r="W798" s="324">
        <f t="shared" si="262"/>
        <v>873</v>
      </c>
      <c r="X798" s="332" t="str">
        <f>O873</f>
        <v>13 Putze und Mörtel</v>
      </c>
      <c r="Y798" s="324" t="str">
        <f t="shared" si="261"/>
        <v>p873:p878</v>
      </c>
    </row>
    <row r="799" spans="1:25" hidden="1">
      <c r="B799" s="37" t="s">
        <v>1228</v>
      </c>
      <c r="C799" s="37"/>
      <c r="D799" s="37">
        <v>200</v>
      </c>
      <c r="E799" s="38">
        <v>0.06</v>
      </c>
      <c r="F799" s="37">
        <v>1300</v>
      </c>
      <c r="G799" s="37">
        <v>20</v>
      </c>
      <c r="H799" s="37">
        <v>15</v>
      </c>
      <c r="L799" s="213"/>
      <c r="M799" s="213"/>
      <c r="N799" s="213"/>
      <c r="O799" s="324" t="str">
        <f t="shared" si="256"/>
        <v/>
      </c>
      <c r="P799" s="324" t="str">
        <f t="shared" si="257"/>
        <v>4.5 Wollunterlage [0,06]</v>
      </c>
      <c r="Q799" s="324"/>
      <c r="R799" s="338">
        <f t="shared" si="258"/>
        <v>0.06</v>
      </c>
      <c r="S799" s="339" t="str">
        <f t="shared" si="259"/>
        <v>4.5 Wollunterlage</v>
      </c>
      <c r="T799" s="339"/>
      <c r="U799" s="339" t="str">
        <f t="shared" si="260"/>
        <v>[0,06]</v>
      </c>
      <c r="W799" s="324">
        <f t="shared" si="262"/>
        <v>879</v>
      </c>
      <c r="X799" s="332" t="str">
        <f>O879</f>
        <v>14 Erdreich</v>
      </c>
      <c r="Y799" s="324" t="str">
        <f t="shared" si="261"/>
        <v>p879:p880</v>
      </c>
    </row>
    <row r="800" spans="1:25" hidden="1">
      <c r="B800" s="37" t="s">
        <v>1229</v>
      </c>
      <c r="C800" s="37"/>
      <c r="D800" s="37" t="s">
        <v>1154</v>
      </c>
      <c r="E800" s="38">
        <v>0.05</v>
      </c>
      <c r="F800" s="37">
        <v>1500</v>
      </c>
      <c r="G800" s="37">
        <v>20</v>
      </c>
      <c r="H800" s="37">
        <v>10</v>
      </c>
      <c r="L800" s="213"/>
      <c r="M800" s="213"/>
      <c r="N800" s="213"/>
      <c r="O800" s="324" t="str">
        <f t="shared" si="256"/>
        <v/>
      </c>
      <c r="P800" s="324" t="str">
        <f t="shared" si="257"/>
        <v>4.6 Korkunterlage [0,05]</v>
      </c>
      <c r="Q800" s="324"/>
      <c r="R800" s="338">
        <f t="shared" si="258"/>
        <v>0.05</v>
      </c>
      <c r="S800" s="339" t="str">
        <f t="shared" si="259"/>
        <v>4.6 Korkunterlage</v>
      </c>
      <c r="T800" s="339"/>
      <c r="U800" s="339" t="str">
        <f t="shared" si="260"/>
        <v>[0,05]</v>
      </c>
      <c r="W800" s="324">
        <f t="shared" si="262"/>
        <v>881</v>
      </c>
      <c r="X800" s="332" t="str">
        <f>O881</f>
        <v>15 Gestein</v>
      </c>
      <c r="Y800" s="324" t="str">
        <f t="shared" si="261"/>
        <v>p881:p897</v>
      </c>
    </row>
    <row r="801" spans="1:25" hidden="1">
      <c r="B801" s="37" t="s">
        <v>1230</v>
      </c>
      <c r="C801" s="37"/>
      <c r="D801" s="37" t="s">
        <v>1155</v>
      </c>
      <c r="E801" s="38">
        <v>6.5000000000000002E-2</v>
      </c>
      <c r="F801" s="37">
        <v>1500</v>
      </c>
      <c r="G801" s="37">
        <v>40</v>
      </c>
      <c r="H801" s="37">
        <v>20</v>
      </c>
      <c r="L801" s="213"/>
      <c r="M801" s="213"/>
      <c r="N801" s="213"/>
      <c r="O801" s="324" t="str">
        <f t="shared" si="256"/>
        <v/>
      </c>
      <c r="P801" s="324" t="str">
        <f t="shared" si="257"/>
        <v>4.7 Korkfliesen [0,065]</v>
      </c>
      <c r="Q801" s="324"/>
      <c r="R801" s="338">
        <f t="shared" si="258"/>
        <v>6.5000000000000002E-2</v>
      </c>
      <c r="S801" s="339" t="str">
        <f t="shared" si="259"/>
        <v>4.7 Korkfliesen</v>
      </c>
      <c r="T801" s="339"/>
      <c r="U801" s="339" t="str">
        <f t="shared" si="260"/>
        <v>[0,065]</v>
      </c>
      <c r="W801" s="324">
        <f t="shared" si="262"/>
        <v>898</v>
      </c>
      <c r="X801" s="332" t="str">
        <f>O898</f>
        <v>16 Dachziegelsteine</v>
      </c>
      <c r="Y801" s="324" t="str">
        <f t="shared" si="261"/>
        <v>p898:p899</v>
      </c>
    </row>
    <row r="802" spans="1:25" hidden="1">
      <c r="B802" s="37" t="s">
        <v>1231</v>
      </c>
      <c r="C802" s="37"/>
      <c r="D802" s="37">
        <v>200</v>
      </c>
      <c r="E802" s="38">
        <v>0.06</v>
      </c>
      <c r="F802" s="37">
        <v>1300</v>
      </c>
      <c r="G802" s="37">
        <v>5</v>
      </c>
      <c r="H802" s="37">
        <v>5</v>
      </c>
      <c r="L802" s="213"/>
      <c r="M802" s="213"/>
      <c r="N802" s="213"/>
      <c r="O802" s="324" t="str">
        <f t="shared" si="256"/>
        <v/>
      </c>
      <c r="P802" s="324" t="str">
        <f t="shared" si="257"/>
        <v>4.8 Teppich/Teppichböden [0,06]</v>
      </c>
      <c r="Q802" s="324"/>
      <c r="R802" s="338">
        <f t="shared" si="258"/>
        <v>0.06</v>
      </c>
      <c r="S802" s="339" t="str">
        <f t="shared" si="259"/>
        <v>4.8 Teppich/Teppichböden</v>
      </c>
      <c r="T802" s="339"/>
      <c r="U802" s="339" t="str">
        <f t="shared" si="260"/>
        <v>[0,06]</v>
      </c>
      <c r="W802" s="324">
        <f t="shared" si="262"/>
        <v>900</v>
      </c>
      <c r="X802" s="332" t="str">
        <f>O900</f>
        <v>17 Platten</v>
      </c>
      <c r="Y802" s="324" t="str">
        <f t="shared" si="261"/>
        <v>p900:p901</v>
      </c>
    </row>
    <row r="803" spans="1:25" hidden="1">
      <c r="B803" s="37" t="s">
        <v>1232</v>
      </c>
      <c r="C803" s="37"/>
      <c r="D803" s="37">
        <v>1200</v>
      </c>
      <c r="E803" s="38">
        <v>0.17</v>
      </c>
      <c r="F803" s="37">
        <v>1400</v>
      </c>
      <c r="G803" s="37">
        <v>1000</v>
      </c>
      <c r="H803" s="37">
        <v>800</v>
      </c>
      <c r="L803" s="213"/>
      <c r="M803" s="213"/>
      <c r="N803" s="213"/>
      <c r="O803" s="324" t="str">
        <f t="shared" si="256"/>
        <v/>
      </c>
      <c r="P803" s="324" t="str">
        <f t="shared" si="257"/>
        <v>4.9 Linoleum [0,17]</v>
      </c>
      <c r="Q803" s="324"/>
      <c r="R803" s="338">
        <f t="shared" si="258"/>
        <v>0.17</v>
      </c>
      <c r="S803" s="339" t="str">
        <f t="shared" si="259"/>
        <v>4.9 Linoleum</v>
      </c>
      <c r="T803" s="339"/>
      <c r="U803" s="339" t="str">
        <f t="shared" si="260"/>
        <v>[0,17]</v>
      </c>
      <c r="W803" s="324">
        <f t="shared" si="262"/>
        <v>902</v>
      </c>
      <c r="X803" s="332" t="str">
        <f>O902</f>
        <v>18 Nutzholz</v>
      </c>
      <c r="Y803" s="324" t="str">
        <f t="shared" si="261"/>
        <v>p902:p904</v>
      </c>
    </row>
    <row r="804" spans="1:25" hidden="1">
      <c r="A804" s="38" t="s">
        <v>1208</v>
      </c>
      <c r="B804" s="37" t="s">
        <v>1233</v>
      </c>
      <c r="C804" s="37"/>
      <c r="D804" s="37">
        <v>1.23</v>
      </c>
      <c r="E804" s="38">
        <v>2.5000000000000001E-2</v>
      </c>
      <c r="F804" s="37">
        <v>1008</v>
      </c>
      <c r="G804" s="37">
        <v>1</v>
      </c>
      <c r="H804" s="37">
        <v>1</v>
      </c>
      <c r="L804" s="213"/>
      <c r="M804" s="213"/>
      <c r="N804" s="213"/>
      <c r="O804" s="324" t="str">
        <f t="shared" si="256"/>
        <v>5 Gase</v>
      </c>
      <c r="P804" s="324" t="str">
        <f t="shared" si="257"/>
        <v>5.1 Luft [0,025]</v>
      </c>
      <c r="Q804" s="324"/>
      <c r="R804" s="338">
        <f t="shared" si="258"/>
        <v>2.5000000000000001E-2</v>
      </c>
      <c r="S804" s="339" t="str">
        <f t="shared" si="259"/>
        <v>5.1 Luft</v>
      </c>
      <c r="T804" s="339"/>
      <c r="U804" s="339" t="str">
        <f t="shared" si="260"/>
        <v>[0,025]</v>
      </c>
      <c r="W804" s="324">
        <f t="shared" si="262"/>
        <v>905</v>
      </c>
      <c r="X804" s="332" t="str">
        <f>O905</f>
        <v>19 Holzwerkstoffe</v>
      </c>
      <c r="Y804" s="324" t="str">
        <f>"p"&amp;W804&amp;":"&amp;"p"&amp;W805-1</f>
        <v>p905:p917</v>
      </c>
    </row>
    <row r="805" spans="1:25" hidden="1">
      <c r="B805" s="37" t="s">
        <v>1234</v>
      </c>
      <c r="C805" s="37"/>
      <c r="D805" s="37">
        <v>1.95</v>
      </c>
      <c r="E805" s="38">
        <v>1.4E-2</v>
      </c>
      <c r="F805" s="37">
        <v>820</v>
      </c>
      <c r="G805" s="37">
        <v>1</v>
      </c>
      <c r="H805" s="37">
        <v>1</v>
      </c>
      <c r="L805" s="213"/>
      <c r="M805" s="213"/>
      <c r="N805" s="213"/>
      <c r="O805" s="324" t="str">
        <f t="shared" si="256"/>
        <v/>
      </c>
      <c r="P805" s="324" t="str">
        <f t="shared" si="257"/>
        <v>5.2 Kohlendioxid [0,014]</v>
      </c>
      <c r="Q805" s="324"/>
      <c r="R805" s="338">
        <f t="shared" si="258"/>
        <v>1.4E-2</v>
      </c>
      <c r="S805" s="339" t="str">
        <f t="shared" si="259"/>
        <v>5.2 Kohlendioxid</v>
      </c>
      <c r="T805" s="339"/>
      <c r="U805" s="339" t="str">
        <f t="shared" si="260"/>
        <v>[0,014]</v>
      </c>
      <c r="W805" s="324">
        <f t="shared" si="262"/>
        <v>918</v>
      </c>
      <c r="X805" s="342" t="str">
        <f>O918</f>
        <v>ENDE</v>
      </c>
    </row>
    <row r="806" spans="1:25" hidden="1">
      <c r="B806" s="37" t="s">
        <v>1235</v>
      </c>
      <c r="C806" s="37"/>
      <c r="D806" s="37">
        <v>1.7</v>
      </c>
      <c r="E806" s="38">
        <v>1.7000000000000001E-2</v>
      </c>
      <c r="F806" s="37">
        <v>519</v>
      </c>
      <c r="G806" s="37">
        <v>1</v>
      </c>
      <c r="H806" s="37">
        <v>1</v>
      </c>
      <c r="L806" s="213"/>
      <c r="M806" s="213"/>
      <c r="N806" s="213"/>
      <c r="O806" s="324" t="str">
        <f t="shared" si="256"/>
        <v/>
      </c>
      <c r="P806" s="324" t="str">
        <f t="shared" si="257"/>
        <v>5.3 Argon [0,017]</v>
      </c>
      <c r="Q806" s="324"/>
      <c r="R806" s="338">
        <f t="shared" si="258"/>
        <v>1.7000000000000001E-2</v>
      </c>
      <c r="S806" s="339" t="str">
        <f t="shared" si="259"/>
        <v>5.3 Argon</v>
      </c>
      <c r="T806" s="339"/>
      <c r="U806" s="339" t="str">
        <f t="shared" si="260"/>
        <v>[0,017]</v>
      </c>
    </row>
    <row r="807" spans="1:25" hidden="1">
      <c r="B807" s="37" t="s">
        <v>1236</v>
      </c>
      <c r="C807" s="37"/>
      <c r="D807" s="37">
        <v>6.36</v>
      </c>
      <c r="E807" s="38">
        <v>1.2999999999999999E-2</v>
      </c>
      <c r="F807" s="37">
        <v>614</v>
      </c>
      <c r="G807" s="37">
        <v>1</v>
      </c>
      <c r="H807" s="37">
        <v>1</v>
      </c>
      <c r="L807" s="213"/>
      <c r="M807" s="213"/>
      <c r="N807" s="213"/>
      <c r="O807" s="324" t="str">
        <f t="shared" si="256"/>
        <v/>
      </c>
      <c r="P807" s="324" t="str">
        <f t="shared" si="257"/>
        <v>5.4 Schwefelhexafluorid [0,013]</v>
      </c>
      <c r="Q807" s="324"/>
      <c r="R807" s="338">
        <f t="shared" si="258"/>
        <v>1.2999999999999999E-2</v>
      </c>
      <c r="S807" s="339" t="str">
        <f t="shared" si="259"/>
        <v>5.4 Schwefelhexafluorid</v>
      </c>
      <c r="T807" s="339"/>
      <c r="U807" s="339" t="str">
        <f t="shared" si="260"/>
        <v>[0,013]</v>
      </c>
    </row>
    <row r="808" spans="1:25" hidden="1">
      <c r="B808" s="37" t="s">
        <v>1237</v>
      </c>
      <c r="C808" s="37"/>
      <c r="D808" s="37">
        <v>3.56</v>
      </c>
      <c r="E808" s="38">
        <v>8.9999999999999993E-3</v>
      </c>
      <c r="F808" s="37">
        <v>245</v>
      </c>
      <c r="G808" s="37">
        <v>1</v>
      </c>
      <c r="H808" s="37">
        <v>1</v>
      </c>
      <c r="L808" s="213"/>
      <c r="M808" s="213"/>
      <c r="N808" s="213"/>
      <c r="O808" s="324" t="str">
        <f t="shared" si="256"/>
        <v/>
      </c>
      <c r="P808" s="324" t="str">
        <f t="shared" si="257"/>
        <v>5.5 Krypton [0,009]</v>
      </c>
      <c r="Q808" s="324"/>
      <c r="R808" s="338">
        <f t="shared" si="258"/>
        <v>8.9999999999999993E-3</v>
      </c>
      <c r="S808" s="339" t="str">
        <f t="shared" si="259"/>
        <v>5.5 Krypton</v>
      </c>
      <c r="T808" s="339"/>
      <c r="U808" s="339" t="str">
        <f t="shared" si="260"/>
        <v>[0,009]</v>
      </c>
    </row>
    <row r="809" spans="1:25" hidden="1">
      <c r="B809" s="37" t="s">
        <v>1238</v>
      </c>
      <c r="C809" s="37"/>
      <c r="D809" s="37">
        <v>5.68</v>
      </c>
      <c r="E809" s="38">
        <v>5.4000000000000003E-3</v>
      </c>
      <c r="F809" s="37">
        <v>160</v>
      </c>
      <c r="G809" s="37">
        <v>1</v>
      </c>
      <c r="H809" s="37">
        <v>1</v>
      </c>
      <c r="L809" s="213"/>
      <c r="M809" s="213"/>
      <c r="N809" s="213"/>
      <c r="O809" s="324" t="str">
        <f t="shared" si="256"/>
        <v/>
      </c>
      <c r="P809" s="324" t="str">
        <f t="shared" si="257"/>
        <v>5.6 Xenon [0,0054]</v>
      </c>
      <c r="Q809" s="324"/>
      <c r="R809" s="338">
        <f t="shared" si="258"/>
        <v>5.4000000000000003E-3</v>
      </c>
      <c r="S809" s="339" t="str">
        <f t="shared" si="259"/>
        <v>5.6 Xenon</v>
      </c>
      <c r="T809" s="339"/>
      <c r="U809" s="339" t="str">
        <f t="shared" si="260"/>
        <v>[0,0054]</v>
      </c>
    </row>
    <row r="810" spans="1:25" hidden="1">
      <c r="A810" s="38" t="s">
        <v>1209</v>
      </c>
      <c r="B810" s="37" t="s">
        <v>1239</v>
      </c>
      <c r="C810" s="37"/>
      <c r="D810" s="37">
        <v>2500</v>
      </c>
      <c r="E810" s="38">
        <v>1</v>
      </c>
      <c r="F810" s="37">
        <v>750</v>
      </c>
      <c r="G810" s="37" t="s">
        <v>1156</v>
      </c>
      <c r="H810" s="37" t="s">
        <v>1156</v>
      </c>
      <c r="L810" s="213"/>
      <c r="M810" s="213"/>
      <c r="N810" s="213"/>
      <c r="O810" s="324" t="str">
        <f t="shared" si="256"/>
        <v>6 Glas</v>
      </c>
      <c r="P810" s="324" t="str">
        <f t="shared" si="257"/>
        <v>6.1 Natronglas (einschließlich Floatglas) [1]</v>
      </c>
      <c r="Q810" s="324"/>
      <c r="R810" s="338">
        <f t="shared" si="258"/>
        <v>1</v>
      </c>
      <c r="S810" s="339" t="str">
        <f t="shared" si="259"/>
        <v>6.1 Natronglas (einschließlich Floatglas)</v>
      </c>
      <c r="T810" s="339"/>
      <c r="U810" s="339" t="str">
        <f t="shared" si="260"/>
        <v>[1]</v>
      </c>
    </row>
    <row r="811" spans="1:25" hidden="1">
      <c r="B811" s="37" t="s">
        <v>1240</v>
      </c>
      <c r="C811" s="37"/>
      <c r="D811" s="37">
        <v>2200</v>
      </c>
      <c r="E811" s="38">
        <v>1.4</v>
      </c>
      <c r="F811" s="37">
        <v>750</v>
      </c>
      <c r="G811" s="37" t="s">
        <v>1156</v>
      </c>
      <c r="H811" s="37" t="s">
        <v>1156</v>
      </c>
      <c r="L811" s="213"/>
      <c r="M811" s="213"/>
      <c r="N811" s="213"/>
      <c r="O811" s="324" t="str">
        <f t="shared" si="256"/>
        <v/>
      </c>
      <c r="P811" s="324" t="str">
        <f t="shared" si="257"/>
        <v>6.2 Quarzglas [1,4]</v>
      </c>
      <c r="Q811" s="324"/>
      <c r="R811" s="338">
        <f t="shared" si="258"/>
        <v>1.4</v>
      </c>
      <c r="S811" s="339" t="str">
        <f t="shared" si="259"/>
        <v>6.2 Quarzglas</v>
      </c>
      <c r="T811" s="339"/>
      <c r="U811" s="339" t="str">
        <f t="shared" si="260"/>
        <v>[1,4]</v>
      </c>
    </row>
    <row r="812" spans="1:25" hidden="1">
      <c r="B812" s="37" t="s">
        <v>1241</v>
      </c>
      <c r="C812" s="37"/>
      <c r="D812" s="37">
        <v>2000</v>
      </c>
      <c r="E812" s="38">
        <v>1.2</v>
      </c>
      <c r="F812" s="37">
        <v>750</v>
      </c>
      <c r="G812" s="37" t="s">
        <v>1156</v>
      </c>
      <c r="H812" s="37" t="s">
        <v>1156</v>
      </c>
      <c r="L812" s="213"/>
      <c r="M812" s="213"/>
      <c r="N812" s="213"/>
      <c r="O812" s="324" t="str">
        <f t="shared" si="256"/>
        <v/>
      </c>
      <c r="P812" s="324" t="str">
        <f t="shared" si="257"/>
        <v>6.3 Glasmosaik [1,2]</v>
      </c>
      <c r="Q812" s="324"/>
      <c r="R812" s="338">
        <f t="shared" si="258"/>
        <v>1.2</v>
      </c>
      <c r="S812" s="339" t="str">
        <f t="shared" si="259"/>
        <v>6.3 Glasmosaik</v>
      </c>
      <c r="T812" s="339"/>
      <c r="U812" s="339" t="str">
        <f t="shared" si="260"/>
        <v>[1,2]</v>
      </c>
    </row>
    <row r="813" spans="1:25" hidden="1">
      <c r="A813" s="38" t="s">
        <v>1210</v>
      </c>
      <c r="B813" s="37" t="s">
        <v>1242</v>
      </c>
      <c r="C813" s="37"/>
      <c r="D813" s="37">
        <v>920</v>
      </c>
      <c r="E813" s="38">
        <v>2.2999999999999998</v>
      </c>
      <c r="F813" s="37">
        <v>2000</v>
      </c>
      <c r="L813" s="213"/>
      <c r="M813" s="213"/>
      <c r="N813" s="213"/>
      <c r="O813" s="324" t="str">
        <f t="shared" si="256"/>
        <v>7 Wasser</v>
      </c>
      <c r="P813" s="324" t="str">
        <f t="shared" si="257"/>
        <v>7.1 Eis bei -10 °C [2,3]</v>
      </c>
      <c r="Q813" s="324"/>
      <c r="R813" s="338">
        <f t="shared" si="258"/>
        <v>2.2999999999999998</v>
      </c>
      <c r="S813" s="339" t="str">
        <f t="shared" si="259"/>
        <v>7.1 Eis bei -10 °C</v>
      </c>
      <c r="T813" s="339"/>
      <c r="U813" s="339" t="str">
        <f t="shared" si="260"/>
        <v>[2,3]</v>
      </c>
    </row>
    <row r="814" spans="1:25" hidden="1">
      <c r="B814" s="37" t="s">
        <v>1243</v>
      </c>
      <c r="C814" s="37"/>
      <c r="D814" s="37">
        <v>900</v>
      </c>
      <c r="E814" s="38">
        <v>2.2000000000000002</v>
      </c>
      <c r="F814" s="37">
        <v>2000</v>
      </c>
      <c r="L814" s="213"/>
      <c r="M814" s="213"/>
      <c r="N814" s="213"/>
      <c r="O814" s="324" t="str">
        <f t="shared" si="256"/>
        <v/>
      </c>
      <c r="P814" s="324" t="str">
        <f t="shared" si="257"/>
        <v>7.2 Eis bei 0 °C [2,2]</v>
      </c>
      <c r="Q814" s="324"/>
      <c r="R814" s="338">
        <f t="shared" si="258"/>
        <v>2.2000000000000002</v>
      </c>
      <c r="S814" s="339" t="str">
        <f t="shared" si="259"/>
        <v>7.2 Eis bei 0 °C</v>
      </c>
      <c r="T814" s="339"/>
      <c r="U814" s="339" t="str">
        <f t="shared" si="260"/>
        <v>[2,2]</v>
      </c>
    </row>
    <row r="815" spans="1:25" hidden="1">
      <c r="B815" s="37" t="s">
        <v>1244</v>
      </c>
      <c r="C815" s="37"/>
      <c r="D815" s="37">
        <v>100</v>
      </c>
      <c r="E815" s="38">
        <v>0.05</v>
      </c>
      <c r="F815" s="37">
        <v>2000</v>
      </c>
      <c r="L815" s="213"/>
      <c r="M815" s="213"/>
      <c r="N815" s="213"/>
      <c r="O815" s="324" t="str">
        <f t="shared" si="256"/>
        <v/>
      </c>
      <c r="P815" s="324" t="str">
        <f t="shared" si="257"/>
        <v>7.3 Schnee, frisch gefallen (&lt; 30 mm) [0,05]</v>
      </c>
      <c r="Q815" s="324"/>
      <c r="R815" s="338">
        <f t="shared" si="258"/>
        <v>0.05</v>
      </c>
      <c r="S815" s="339" t="str">
        <f t="shared" si="259"/>
        <v>7.3 Schnee, frisch gefallen (&lt; 30 mm)</v>
      </c>
      <c r="T815" s="339"/>
      <c r="U815" s="339" t="str">
        <f t="shared" si="260"/>
        <v>[0,05]</v>
      </c>
    </row>
    <row r="816" spans="1:25" hidden="1">
      <c r="B816" s="37" t="s">
        <v>1245</v>
      </c>
      <c r="C816" s="37"/>
      <c r="D816" s="37">
        <v>200</v>
      </c>
      <c r="E816" s="38">
        <v>0.12</v>
      </c>
      <c r="F816" s="37">
        <v>2000</v>
      </c>
      <c r="L816" s="213"/>
      <c r="M816" s="213"/>
      <c r="N816" s="213"/>
      <c r="O816" s="324" t="str">
        <f t="shared" si="256"/>
        <v/>
      </c>
      <c r="P816" s="324" t="str">
        <f t="shared" si="257"/>
        <v>7.4 Neuschnee, weich (30 mm bis 70 mm) [0,12]</v>
      </c>
      <c r="Q816" s="324"/>
      <c r="R816" s="338">
        <f t="shared" si="258"/>
        <v>0.12</v>
      </c>
      <c r="S816" s="339" t="str">
        <f t="shared" si="259"/>
        <v>7.4 Neuschnee, weich (30 mm bis 70 mm)</v>
      </c>
      <c r="T816" s="339"/>
      <c r="U816" s="339" t="str">
        <f t="shared" si="260"/>
        <v>[0,12]</v>
      </c>
    </row>
    <row r="817" spans="1:21" hidden="1">
      <c r="B817" s="37" t="s">
        <v>1246</v>
      </c>
      <c r="C817" s="37"/>
      <c r="D817" s="37">
        <v>300</v>
      </c>
      <c r="E817" s="38">
        <v>0.23</v>
      </c>
      <c r="F817" s="37">
        <v>2000</v>
      </c>
      <c r="L817" s="213"/>
      <c r="M817" s="213"/>
      <c r="N817" s="213"/>
      <c r="O817" s="324" t="str">
        <f t="shared" si="256"/>
        <v/>
      </c>
      <c r="P817" s="324" t="str">
        <f t="shared" si="257"/>
        <v>7.5 Schnee, leicht verharscht (70 mm bis 100 mm) [0,23]</v>
      </c>
      <c r="Q817" s="324"/>
      <c r="R817" s="338">
        <f t="shared" si="258"/>
        <v>0.23</v>
      </c>
      <c r="S817" s="339" t="str">
        <f t="shared" si="259"/>
        <v>7.5 Schnee, leicht verharscht (70 mm bis 100 mm)</v>
      </c>
      <c r="T817" s="339"/>
      <c r="U817" s="339" t="str">
        <f t="shared" si="260"/>
        <v>[0,23]</v>
      </c>
    </row>
    <row r="818" spans="1:21" hidden="1">
      <c r="B818" s="37" t="s">
        <v>1247</v>
      </c>
      <c r="C818" s="37"/>
      <c r="D818" s="37">
        <v>500</v>
      </c>
      <c r="E818" s="38">
        <v>0.6</v>
      </c>
      <c r="F818" s="37">
        <v>2000</v>
      </c>
      <c r="L818" s="213"/>
      <c r="M818" s="213"/>
      <c r="N818" s="213"/>
      <c r="O818" s="324" t="str">
        <f t="shared" ref="O818:O849" si="264">IF(A818&gt;0,A818,"")</f>
        <v/>
      </c>
      <c r="P818" s="324" t="str">
        <f t="shared" si="257"/>
        <v>7.6 Schnee, verharscht (&lt; 200 mm) [0,6]</v>
      </c>
      <c r="Q818" s="324"/>
      <c r="R818" s="338">
        <f t="shared" ref="R818:R849" si="265">E818</f>
        <v>0.6</v>
      </c>
      <c r="S818" s="339" t="str">
        <f t="shared" ref="S818:S849" si="266">B818</f>
        <v>7.6 Schnee, verharscht (&lt; 200 mm)</v>
      </c>
      <c r="T818" s="339"/>
      <c r="U818" s="339" t="str">
        <f t="shared" ref="U818:U849" si="267">IF(E818&gt;0,"["&amp;E818&amp;"]","")</f>
        <v>[0,6]</v>
      </c>
    </row>
    <row r="819" spans="1:21" hidden="1">
      <c r="B819" s="37" t="s">
        <v>1248</v>
      </c>
      <c r="C819" s="37"/>
      <c r="D819" s="37">
        <v>1000</v>
      </c>
      <c r="E819" s="38">
        <v>0.6</v>
      </c>
      <c r="F819" s="37">
        <v>4190</v>
      </c>
      <c r="L819" s="213"/>
      <c r="M819" s="213"/>
      <c r="N819" s="213"/>
      <c r="O819" s="324" t="str">
        <f t="shared" si="264"/>
        <v/>
      </c>
      <c r="P819" s="324" t="str">
        <f t="shared" si="257"/>
        <v>7.7 Wasser bei 10 °C [0,6]</v>
      </c>
      <c r="Q819" s="324"/>
      <c r="R819" s="338">
        <f t="shared" si="265"/>
        <v>0.6</v>
      </c>
      <c r="S819" s="339" t="str">
        <f t="shared" si="266"/>
        <v>7.7 Wasser bei 10 °C</v>
      </c>
      <c r="T819" s="339"/>
      <c r="U819" s="339" t="str">
        <f t="shared" si="267"/>
        <v>[0,6]</v>
      </c>
    </row>
    <row r="820" spans="1:21" hidden="1">
      <c r="B820" s="37" t="s">
        <v>1249</v>
      </c>
      <c r="C820" s="37"/>
      <c r="D820" s="37">
        <v>990</v>
      </c>
      <c r="E820" s="38">
        <v>0.63</v>
      </c>
      <c r="F820" s="37">
        <v>4190</v>
      </c>
      <c r="L820" s="213"/>
      <c r="M820" s="213"/>
      <c r="N820" s="213"/>
      <c r="O820" s="324" t="str">
        <f t="shared" si="264"/>
        <v/>
      </c>
      <c r="P820" s="324" t="str">
        <f t="shared" si="257"/>
        <v>7.8 Wasser bei 40 °C [0,63]</v>
      </c>
      <c r="Q820" s="324"/>
      <c r="R820" s="338">
        <f t="shared" si="265"/>
        <v>0.63</v>
      </c>
      <c r="S820" s="339" t="str">
        <f t="shared" si="266"/>
        <v>7.8 Wasser bei 40 °C</v>
      </c>
      <c r="T820" s="339"/>
      <c r="U820" s="339" t="str">
        <f t="shared" si="267"/>
        <v>[0,63]</v>
      </c>
    </row>
    <row r="821" spans="1:21" hidden="1">
      <c r="B821" s="37" t="s">
        <v>1250</v>
      </c>
      <c r="C821" s="37"/>
      <c r="D821" s="37">
        <v>970</v>
      </c>
      <c r="E821" s="38">
        <v>0.67</v>
      </c>
      <c r="F821" s="37">
        <v>4190</v>
      </c>
      <c r="L821" s="213"/>
      <c r="M821" s="213"/>
      <c r="N821" s="213"/>
      <c r="O821" s="324" t="str">
        <f t="shared" si="264"/>
        <v/>
      </c>
      <c r="P821" s="324" t="str">
        <f t="shared" si="257"/>
        <v>7.9 Wasser bei 80 °C [0,67]</v>
      </c>
      <c r="Q821" s="324"/>
      <c r="R821" s="338">
        <f t="shared" si="265"/>
        <v>0.67</v>
      </c>
      <c r="S821" s="339" t="str">
        <f t="shared" si="266"/>
        <v>7.9 Wasser bei 80 °C</v>
      </c>
      <c r="T821" s="339"/>
      <c r="U821" s="339" t="str">
        <f t="shared" si="267"/>
        <v>[0,67]</v>
      </c>
    </row>
    <row r="822" spans="1:21" hidden="1">
      <c r="A822" s="38" t="s">
        <v>1211</v>
      </c>
      <c r="B822" s="37" t="s">
        <v>1251</v>
      </c>
      <c r="C822" s="37"/>
      <c r="D822" s="37">
        <v>2800</v>
      </c>
      <c r="E822" s="38">
        <v>160</v>
      </c>
      <c r="F822" s="37">
        <v>880</v>
      </c>
      <c r="G822" s="37" t="s">
        <v>1156</v>
      </c>
      <c r="H822" s="37" t="s">
        <v>1156</v>
      </c>
      <c r="L822" s="213"/>
      <c r="M822" s="213"/>
      <c r="N822" s="213"/>
      <c r="O822" s="324" t="str">
        <f t="shared" si="264"/>
        <v>8 Metalle</v>
      </c>
      <c r="P822" s="324" t="str">
        <f t="shared" si="257"/>
        <v>8.1 Aluminiumlegierungen [160]</v>
      </c>
      <c r="Q822" s="324"/>
      <c r="R822" s="338">
        <f t="shared" si="265"/>
        <v>160</v>
      </c>
      <c r="S822" s="339" t="str">
        <f t="shared" si="266"/>
        <v>8.1 Aluminiumlegierungen</v>
      </c>
      <c r="T822" s="339"/>
      <c r="U822" s="339" t="str">
        <f t="shared" si="267"/>
        <v>[160]</v>
      </c>
    </row>
    <row r="823" spans="1:21" hidden="1">
      <c r="B823" s="37" t="s">
        <v>1252</v>
      </c>
      <c r="C823" s="37"/>
      <c r="D823" s="37">
        <v>8700</v>
      </c>
      <c r="E823" s="38">
        <v>65</v>
      </c>
      <c r="F823" s="37">
        <v>380</v>
      </c>
      <c r="G823" s="37" t="s">
        <v>1156</v>
      </c>
      <c r="H823" s="37" t="s">
        <v>1156</v>
      </c>
      <c r="L823" s="213"/>
      <c r="M823" s="213"/>
      <c r="N823" s="213"/>
      <c r="O823" s="324" t="str">
        <f t="shared" si="264"/>
        <v/>
      </c>
      <c r="P823" s="324" t="str">
        <f t="shared" si="257"/>
        <v>8.2 Bronze [65]</v>
      </c>
      <c r="Q823" s="324"/>
      <c r="R823" s="338">
        <f t="shared" si="265"/>
        <v>65</v>
      </c>
      <c r="S823" s="339" t="str">
        <f t="shared" si="266"/>
        <v>8.2 Bronze</v>
      </c>
      <c r="T823" s="339"/>
      <c r="U823" s="339" t="str">
        <f t="shared" si="267"/>
        <v>[65]</v>
      </c>
    </row>
    <row r="824" spans="1:21" hidden="1">
      <c r="B824" s="37" t="s">
        <v>1253</v>
      </c>
      <c r="C824" s="37"/>
      <c r="D824" s="37">
        <v>8400</v>
      </c>
      <c r="E824" s="38">
        <v>120</v>
      </c>
      <c r="F824" s="37">
        <v>380</v>
      </c>
      <c r="G824" s="37" t="s">
        <v>1156</v>
      </c>
      <c r="H824" s="37" t="s">
        <v>1156</v>
      </c>
      <c r="L824" s="213"/>
      <c r="M824" s="213"/>
      <c r="N824" s="213"/>
      <c r="O824" s="324" t="str">
        <f t="shared" si="264"/>
        <v/>
      </c>
      <c r="P824" s="324" t="str">
        <f t="shared" si="257"/>
        <v>8.3 Messing [120]</v>
      </c>
      <c r="Q824" s="324"/>
      <c r="R824" s="338">
        <f t="shared" si="265"/>
        <v>120</v>
      </c>
      <c r="S824" s="339" t="str">
        <f t="shared" si="266"/>
        <v>8.3 Messing</v>
      </c>
      <c r="T824" s="339"/>
      <c r="U824" s="339" t="str">
        <f t="shared" si="267"/>
        <v>[120]</v>
      </c>
    </row>
    <row r="825" spans="1:21" hidden="1">
      <c r="B825" s="37" t="s">
        <v>1254</v>
      </c>
      <c r="C825" s="37"/>
      <c r="D825" s="37">
        <v>8900</v>
      </c>
      <c r="E825" s="38">
        <v>380</v>
      </c>
      <c r="F825" s="37">
        <v>380</v>
      </c>
      <c r="G825" s="37" t="s">
        <v>1156</v>
      </c>
      <c r="H825" s="37" t="s">
        <v>1156</v>
      </c>
      <c r="L825" s="213"/>
      <c r="M825" s="213"/>
      <c r="N825" s="213"/>
      <c r="O825" s="324" t="str">
        <f t="shared" si="264"/>
        <v/>
      </c>
      <c r="P825" s="324" t="str">
        <f t="shared" si="257"/>
        <v>8.4 Kupfer [380]</v>
      </c>
      <c r="Q825" s="324"/>
      <c r="R825" s="338">
        <f t="shared" si="265"/>
        <v>380</v>
      </c>
      <c r="S825" s="339" t="str">
        <f t="shared" si="266"/>
        <v>8.4 Kupfer</v>
      </c>
      <c r="T825" s="339"/>
      <c r="U825" s="339" t="str">
        <f t="shared" si="267"/>
        <v>[380]</v>
      </c>
    </row>
    <row r="826" spans="1:21" hidden="1">
      <c r="B826" s="37" t="s">
        <v>1255</v>
      </c>
      <c r="C826" s="37"/>
      <c r="D826" s="37">
        <v>7500</v>
      </c>
      <c r="E826" s="38">
        <v>50</v>
      </c>
      <c r="F826" s="37">
        <v>450</v>
      </c>
      <c r="G826" s="37" t="s">
        <v>1156</v>
      </c>
      <c r="H826" s="37" t="s">
        <v>1156</v>
      </c>
      <c r="L826" s="213"/>
      <c r="M826" s="213"/>
      <c r="N826" s="213"/>
      <c r="O826" s="324" t="str">
        <f t="shared" si="264"/>
        <v/>
      </c>
      <c r="P826" s="324" t="str">
        <f t="shared" si="257"/>
        <v>8.5 Gusseisen [50]</v>
      </c>
      <c r="Q826" s="324"/>
      <c r="R826" s="338">
        <f t="shared" si="265"/>
        <v>50</v>
      </c>
      <c r="S826" s="339" t="str">
        <f t="shared" si="266"/>
        <v>8.5 Gusseisen</v>
      </c>
      <c r="T826" s="339"/>
      <c r="U826" s="339" t="str">
        <f t="shared" si="267"/>
        <v>[50]</v>
      </c>
    </row>
    <row r="827" spans="1:21" hidden="1">
      <c r="B827" s="37" t="s">
        <v>1256</v>
      </c>
      <c r="C827" s="37"/>
      <c r="D827" s="37">
        <v>11300</v>
      </c>
      <c r="E827" s="38">
        <v>35</v>
      </c>
      <c r="F827" s="37">
        <v>130</v>
      </c>
      <c r="G827" s="37" t="s">
        <v>1156</v>
      </c>
      <c r="H827" s="37" t="s">
        <v>1156</v>
      </c>
      <c r="L827" s="213"/>
      <c r="M827" s="213"/>
      <c r="N827" s="213"/>
      <c r="O827" s="324" t="str">
        <f t="shared" si="264"/>
        <v/>
      </c>
      <c r="P827" s="324" t="str">
        <f t="shared" si="257"/>
        <v>8.6 Blei [35]</v>
      </c>
      <c r="Q827" s="324"/>
      <c r="R827" s="338">
        <f t="shared" si="265"/>
        <v>35</v>
      </c>
      <c r="S827" s="339" t="str">
        <f t="shared" si="266"/>
        <v>8.6 Blei</v>
      </c>
      <c r="T827" s="339"/>
      <c r="U827" s="339" t="str">
        <f t="shared" si="267"/>
        <v>[35]</v>
      </c>
    </row>
    <row r="828" spans="1:21" hidden="1">
      <c r="B828" s="37" t="s">
        <v>1257</v>
      </c>
      <c r="C828" s="37"/>
      <c r="D828" s="37">
        <v>7800</v>
      </c>
      <c r="E828" s="38">
        <v>50</v>
      </c>
      <c r="F828" s="37">
        <v>450</v>
      </c>
      <c r="G828" s="37" t="s">
        <v>1156</v>
      </c>
      <c r="H828" s="37" t="s">
        <v>1156</v>
      </c>
      <c r="L828" s="213"/>
      <c r="M828" s="213"/>
      <c r="N828" s="213"/>
      <c r="O828" s="324" t="str">
        <f t="shared" si="264"/>
        <v/>
      </c>
      <c r="P828" s="324" t="str">
        <f t="shared" si="257"/>
        <v>8.7 Stahl [50]</v>
      </c>
      <c r="Q828" s="324"/>
      <c r="R828" s="338">
        <f t="shared" si="265"/>
        <v>50</v>
      </c>
      <c r="S828" s="339" t="str">
        <f t="shared" si="266"/>
        <v>8.7 Stahl</v>
      </c>
      <c r="T828" s="339"/>
      <c r="U828" s="339" t="str">
        <f t="shared" si="267"/>
        <v>[50]</v>
      </c>
    </row>
    <row r="829" spans="1:21" hidden="1">
      <c r="B829" s="37" t="s">
        <v>1711</v>
      </c>
      <c r="C829" s="37"/>
      <c r="D829" s="37">
        <v>7900</v>
      </c>
      <c r="E829" s="38">
        <v>17</v>
      </c>
      <c r="F829" s="37">
        <v>500</v>
      </c>
      <c r="G829" s="37" t="s">
        <v>1156</v>
      </c>
      <c r="H829" s="37" t="s">
        <v>1156</v>
      </c>
      <c r="I829" s="213" t="s">
        <v>803</v>
      </c>
      <c r="L829" s="213"/>
      <c r="M829" s="213"/>
      <c r="N829" s="213"/>
      <c r="O829" s="324" t="str">
        <f t="shared" si="264"/>
        <v/>
      </c>
      <c r="P829" s="324" t="str">
        <f t="shared" si="257"/>
        <v>8.8 nichtrostender Stahl, austenitisch oder austenitisch-ferritisch [17]</v>
      </c>
      <c r="Q829" s="324"/>
      <c r="R829" s="338">
        <f t="shared" si="265"/>
        <v>17</v>
      </c>
      <c r="S829" s="339" t="str">
        <f t="shared" si="266"/>
        <v>8.8 nichtrostender Stahl, austenitisch oder austenitisch-ferritisch</v>
      </c>
      <c r="T829" s="339"/>
      <c r="U829" s="339" t="str">
        <f t="shared" si="267"/>
        <v>[17]</v>
      </c>
    </row>
    <row r="830" spans="1:21" hidden="1">
      <c r="B830" s="37" t="s">
        <v>1258</v>
      </c>
      <c r="C830" s="37"/>
      <c r="D830" s="37">
        <v>7900</v>
      </c>
      <c r="E830" s="38">
        <v>30</v>
      </c>
      <c r="F830" s="37">
        <v>460</v>
      </c>
      <c r="G830" s="37" t="s">
        <v>1156</v>
      </c>
      <c r="H830" s="37" t="s">
        <v>1156</v>
      </c>
      <c r="I830" s="213" t="s">
        <v>803</v>
      </c>
      <c r="L830" s="213"/>
      <c r="M830" s="213"/>
      <c r="N830" s="213"/>
      <c r="O830" s="324" t="str">
        <f t="shared" si="264"/>
        <v/>
      </c>
      <c r="P830" s="324" t="str">
        <f t="shared" si="257"/>
        <v>8.9 nichtrostender Stahl, ferritisch oder martensitisch [30]</v>
      </c>
      <c r="Q830" s="324"/>
      <c r="R830" s="338">
        <f t="shared" si="265"/>
        <v>30</v>
      </c>
      <c r="S830" s="339" t="str">
        <f t="shared" si="266"/>
        <v>8.9 nichtrostender Stahl, ferritisch oder martensitisch</v>
      </c>
      <c r="T830" s="339"/>
      <c r="U830" s="339" t="str">
        <f t="shared" si="267"/>
        <v>[30]</v>
      </c>
    </row>
    <row r="831" spans="1:21" hidden="1">
      <c r="B831" s="37" t="s">
        <v>1259</v>
      </c>
      <c r="C831" s="37"/>
      <c r="D831" s="37">
        <v>7200</v>
      </c>
      <c r="E831" s="38">
        <v>110</v>
      </c>
      <c r="F831" s="37">
        <v>380</v>
      </c>
      <c r="G831" s="37" t="s">
        <v>1156</v>
      </c>
      <c r="H831" s="37" t="s">
        <v>1156</v>
      </c>
      <c r="L831" s="213"/>
      <c r="M831" s="213"/>
      <c r="N831" s="213"/>
      <c r="O831" s="324" t="str">
        <f t="shared" si="264"/>
        <v/>
      </c>
      <c r="P831" s="324" t="str">
        <f t="shared" si="257"/>
        <v>8.10 Zink [110]</v>
      </c>
      <c r="Q831" s="324"/>
      <c r="R831" s="338">
        <f t="shared" si="265"/>
        <v>110</v>
      </c>
      <c r="S831" s="339" t="str">
        <f t="shared" si="266"/>
        <v>8.10 Zink</v>
      </c>
      <c r="T831" s="339"/>
      <c r="U831" s="339" t="str">
        <f t="shared" si="267"/>
        <v>[110]</v>
      </c>
    </row>
    <row r="832" spans="1:21" hidden="1">
      <c r="A832" s="1352" t="s">
        <v>1212</v>
      </c>
      <c r="B832" s="37" t="s">
        <v>1260</v>
      </c>
      <c r="C832" s="37"/>
      <c r="D832" s="37">
        <v>1050</v>
      </c>
      <c r="E832" s="38">
        <v>0.2</v>
      </c>
      <c r="F832" s="37">
        <v>1500</v>
      </c>
      <c r="G832" s="37">
        <v>10000</v>
      </c>
      <c r="H832" s="37">
        <v>10000</v>
      </c>
      <c r="L832" s="213"/>
      <c r="M832" s="213"/>
      <c r="N832" s="213"/>
      <c r="O832" s="324" t="str">
        <f t="shared" si="264"/>
        <v>9 Massive Kunststoffe</v>
      </c>
      <c r="P832" s="324" t="str">
        <f t="shared" si="257"/>
        <v>9.1 Acrylkunststoffe [0,2]</v>
      </c>
      <c r="Q832" s="324"/>
      <c r="R832" s="338">
        <f t="shared" si="265"/>
        <v>0.2</v>
      </c>
      <c r="S832" s="339" t="str">
        <f t="shared" si="266"/>
        <v>9.1 Acrylkunststoffe</v>
      </c>
      <c r="T832" s="339"/>
      <c r="U832" s="339" t="str">
        <f t="shared" si="267"/>
        <v>[0,2]</v>
      </c>
    </row>
    <row r="833" spans="1:21" hidden="1">
      <c r="A833" s="1352"/>
      <c r="B833" s="37" t="s">
        <v>1261</v>
      </c>
      <c r="C833" s="37"/>
      <c r="D833" s="37">
        <v>1200</v>
      </c>
      <c r="E833" s="38">
        <v>0.2</v>
      </c>
      <c r="F833" s="37">
        <v>1200</v>
      </c>
      <c r="G833" s="37">
        <v>5000</v>
      </c>
      <c r="H833" s="37">
        <v>5000</v>
      </c>
      <c r="L833" s="213"/>
      <c r="M833" s="213"/>
      <c r="N833" s="213"/>
      <c r="O833" s="324" t="str">
        <f t="shared" si="264"/>
        <v/>
      </c>
      <c r="P833" s="324" t="str">
        <f t="shared" si="257"/>
        <v>9.2 Polycarbonate [0,2]</v>
      </c>
      <c r="Q833" s="324"/>
      <c r="R833" s="338">
        <f t="shared" si="265"/>
        <v>0.2</v>
      </c>
      <c r="S833" s="339" t="str">
        <f t="shared" si="266"/>
        <v>9.2 Polycarbonate</v>
      </c>
      <c r="T833" s="339"/>
      <c r="U833" s="339" t="str">
        <f t="shared" si="267"/>
        <v>[0,2]</v>
      </c>
    </row>
    <row r="834" spans="1:21" hidden="1">
      <c r="B834" s="37" t="s">
        <v>1262</v>
      </c>
      <c r="C834" s="37"/>
      <c r="D834" s="37">
        <v>2200</v>
      </c>
      <c r="E834" s="38">
        <v>0.25</v>
      </c>
      <c r="F834" s="37">
        <v>1000</v>
      </c>
      <c r="G834" s="37">
        <v>10000</v>
      </c>
      <c r="H834" s="37">
        <v>10000</v>
      </c>
      <c r="L834" s="213"/>
      <c r="M834" s="213"/>
      <c r="N834" s="213"/>
      <c r="O834" s="324" t="str">
        <f t="shared" si="264"/>
        <v/>
      </c>
      <c r="P834" s="324" t="str">
        <f t="shared" si="257"/>
        <v>9.3 Polytetrafluorethylenkunststoffe (PTFE) [0,25]</v>
      </c>
      <c r="Q834" s="324"/>
      <c r="R834" s="338">
        <f t="shared" si="265"/>
        <v>0.25</v>
      </c>
      <c r="S834" s="339" t="str">
        <f t="shared" si="266"/>
        <v>9.3 Polytetrafluorethylenkunststoffe (PTFE)</v>
      </c>
      <c r="T834" s="339"/>
      <c r="U834" s="339" t="str">
        <f t="shared" si="267"/>
        <v>[0,25]</v>
      </c>
    </row>
    <row r="835" spans="1:21" hidden="1">
      <c r="B835" s="37" t="s">
        <v>1263</v>
      </c>
      <c r="C835" s="37"/>
      <c r="D835" s="37">
        <v>1390</v>
      </c>
      <c r="E835" s="38">
        <v>0.17</v>
      </c>
      <c r="F835" s="37">
        <v>900</v>
      </c>
      <c r="G835" s="37">
        <v>50000</v>
      </c>
      <c r="H835" s="37">
        <v>50000</v>
      </c>
      <c r="L835" s="213"/>
      <c r="M835" s="213"/>
      <c r="N835" s="213"/>
      <c r="O835" s="324" t="str">
        <f t="shared" si="264"/>
        <v/>
      </c>
      <c r="P835" s="324" t="str">
        <f t="shared" si="257"/>
        <v>9.4 Polyvinylchlorid (PVC) [0,17]</v>
      </c>
      <c r="Q835" s="324"/>
      <c r="R835" s="338">
        <f t="shared" si="265"/>
        <v>0.17</v>
      </c>
      <c r="S835" s="339" t="str">
        <f t="shared" si="266"/>
        <v>9.4 Polyvinylchlorid (PVC)</v>
      </c>
      <c r="T835" s="339"/>
      <c r="U835" s="339" t="str">
        <f t="shared" si="267"/>
        <v>[0,17]</v>
      </c>
    </row>
    <row r="836" spans="1:21" hidden="1">
      <c r="B836" s="37" t="s">
        <v>1264</v>
      </c>
      <c r="C836" s="37"/>
      <c r="D836" s="37">
        <v>1180</v>
      </c>
      <c r="E836" s="38">
        <v>0.18</v>
      </c>
      <c r="F836" s="37">
        <v>1500</v>
      </c>
      <c r="G836" s="37">
        <v>50000</v>
      </c>
      <c r="H836" s="37">
        <v>50000</v>
      </c>
      <c r="L836" s="213"/>
      <c r="M836" s="213"/>
      <c r="N836" s="213"/>
      <c r="O836" s="324" t="str">
        <f t="shared" si="264"/>
        <v/>
      </c>
      <c r="P836" s="324" t="str">
        <f t="shared" si="257"/>
        <v>9.5 Polymethylmethacrylat (PMMA) [0,18]</v>
      </c>
      <c r="Q836" s="324"/>
      <c r="R836" s="338">
        <f t="shared" si="265"/>
        <v>0.18</v>
      </c>
      <c r="S836" s="339" t="str">
        <f t="shared" si="266"/>
        <v>9.5 Polymethylmethacrylat (PMMA)</v>
      </c>
      <c r="T836" s="339"/>
      <c r="U836" s="339" t="str">
        <f t="shared" si="267"/>
        <v>[0,18]</v>
      </c>
    </row>
    <row r="837" spans="1:21" hidden="1">
      <c r="B837" s="37" t="s">
        <v>1265</v>
      </c>
      <c r="C837" s="37"/>
      <c r="D837" s="37">
        <v>1410</v>
      </c>
      <c r="E837" s="38">
        <v>0.3</v>
      </c>
      <c r="F837" s="37">
        <v>1400</v>
      </c>
      <c r="G837" s="37">
        <v>100000</v>
      </c>
      <c r="H837" s="37">
        <v>100000</v>
      </c>
      <c r="L837" s="213"/>
      <c r="M837" s="213"/>
      <c r="N837" s="213"/>
      <c r="O837" s="324" t="str">
        <f t="shared" si="264"/>
        <v/>
      </c>
      <c r="P837" s="324" t="str">
        <f t="shared" si="257"/>
        <v>9.6 Polyacetatkunststoffe [0,3]</v>
      </c>
      <c r="Q837" s="324"/>
      <c r="R837" s="338">
        <f t="shared" si="265"/>
        <v>0.3</v>
      </c>
      <c r="S837" s="339" t="str">
        <f t="shared" si="266"/>
        <v>9.6 Polyacetatkunststoffe</v>
      </c>
      <c r="T837" s="339"/>
      <c r="U837" s="339" t="str">
        <f t="shared" si="267"/>
        <v>[0,3]</v>
      </c>
    </row>
    <row r="838" spans="1:21" hidden="1">
      <c r="B838" s="37" t="s">
        <v>1266</v>
      </c>
      <c r="C838" s="37"/>
      <c r="D838" s="37">
        <v>1150</v>
      </c>
      <c r="E838" s="38">
        <v>0.25</v>
      </c>
      <c r="F838" s="37">
        <v>1600</v>
      </c>
      <c r="G838" s="37">
        <v>50000</v>
      </c>
      <c r="H838" s="37">
        <v>50000</v>
      </c>
      <c r="L838" s="213"/>
      <c r="M838" s="213"/>
      <c r="N838" s="213"/>
      <c r="O838" s="324" t="str">
        <f t="shared" si="264"/>
        <v/>
      </c>
      <c r="P838" s="324" t="str">
        <f t="shared" si="257"/>
        <v>9.7 Polyamid (Nylon) [0,25]</v>
      </c>
      <c r="Q838" s="324"/>
      <c r="R838" s="338">
        <f t="shared" si="265"/>
        <v>0.25</v>
      </c>
      <c r="S838" s="339" t="str">
        <f t="shared" si="266"/>
        <v>9.7 Polyamid (Nylon)</v>
      </c>
      <c r="T838" s="339"/>
      <c r="U838" s="339" t="str">
        <f t="shared" si="267"/>
        <v>[0,25]</v>
      </c>
    </row>
    <row r="839" spans="1:21" hidden="1">
      <c r="B839" s="37" t="s">
        <v>1267</v>
      </c>
      <c r="C839" s="37"/>
      <c r="D839" s="37">
        <v>1450</v>
      </c>
      <c r="E839" s="38">
        <v>0.3</v>
      </c>
      <c r="F839" s="37">
        <v>1600</v>
      </c>
      <c r="G839" s="37">
        <v>50000</v>
      </c>
      <c r="H839" s="37">
        <v>50000</v>
      </c>
      <c r="L839" s="213"/>
      <c r="M839" s="213"/>
      <c r="N839" s="213"/>
      <c r="O839" s="324" t="str">
        <f t="shared" si="264"/>
        <v/>
      </c>
      <c r="P839" s="324" t="str">
        <f t="shared" si="257"/>
        <v>9.8 Polyamid 6.6 mit 25 % Glasfasern [0,3]</v>
      </c>
      <c r="Q839" s="324"/>
      <c r="R839" s="338">
        <f t="shared" si="265"/>
        <v>0.3</v>
      </c>
      <c r="S839" s="339" t="str">
        <f t="shared" si="266"/>
        <v>9.8 Polyamid 6.6 mit 25 % Glasfasern</v>
      </c>
      <c r="T839" s="339"/>
      <c r="U839" s="339" t="str">
        <f t="shared" si="267"/>
        <v>[0,3]</v>
      </c>
    </row>
    <row r="840" spans="1:21" hidden="1">
      <c r="B840" s="37" t="s">
        <v>1268</v>
      </c>
      <c r="C840" s="37"/>
      <c r="D840" s="37">
        <v>980</v>
      </c>
      <c r="E840" s="38">
        <v>0.5</v>
      </c>
      <c r="F840" s="37">
        <v>1800</v>
      </c>
      <c r="G840" s="37">
        <v>100000</v>
      </c>
      <c r="H840" s="37">
        <v>100000</v>
      </c>
      <c r="L840" s="213"/>
      <c r="M840" s="213"/>
      <c r="N840" s="213"/>
      <c r="O840" s="324" t="str">
        <f t="shared" si="264"/>
        <v/>
      </c>
      <c r="P840" s="324" t="str">
        <f t="shared" si="257"/>
        <v>9.9 Polyethylen/Polythen, hohe Rohdichte [0,5]</v>
      </c>
      <c r="Q840" s="324"/>
      <c r="R840" s="338">
        <f t="shared" si="265"/>
        <v>0.5</v>
      </c>
      <c r="S840" s="339" t="str">
        <f t="shared" si="266"/>
        <v>9.9 Polyethylen/Polythen, hohe Rohdichte</v>
      </c>
      <c r="T840" s="339"/>
      <c r="U840" s="339" t="str">
        <f t="shared" si="267"/>
        <v>[0,5]</v>
      </c>
    </row>
    <row r="841" spans="1:21" hidden="1">
      <c r="B841" s="37" t="s">
        <v>1269</v>
      </c>
      <c r="C841" s="37"/>
      <c r="D841" s="37">
        <v>920</v>
      </c>
      <c r="E841" s="38">
        <v>0.33</v>
      </c>
      <c r="F841" s="37">
        <v>2200</v>
      </c>
      <c r="G841" s="37">
        <v>100000</v>
      </c>
      <c r="H841" s="37">
        <v>100000</v>
      </c>
      <c r="L841" s="213"/>
      <c r="M841" s="213"/>
      <c r="N841" s="213"/>
      <c r="O841" s="324" t="str">
        <f t="shared" si="264"/>
        <v/>
      </c>
      <c r="P841" s="324" t="str">
        <f t="shared" si="257"/>
        <v>9.10 Polyethylen/Polythen, niedrige Rohdichte [0,33]</v>
      </c>
      <c r="Q841" s="324"/>
      <c r="R841" s="338">
        <f t="shared" si="265"/>
        <v>0.33</v>
      </c>
      <c r="S841" s="339" t="str">
        <f t="shared" si="266"/>
        <v>9.10 Polyethylen/Polythen, niedrige Rohdichte</v>
      </c>
      <c r="T841" s="339"/>
      <c r="U841" s="339" t="str">
        <f t="shared" si="267"/>
        <v>[0,33]</v>
      </c>
    </row>
    <row r="842" spans="1:21" hidden="1">
      <c r="B842" s="37" t="s">
        <v>1270</v>
      </c>
      <c r="C842" s="37"/>
      <c r="D842" s="37">
        <v>1050</v>
      </c>
      <c r="E842" s="38">
        <v>0.16</v>
      </c>
      <c r="F842" s="37">
        <v>1300</v>
      </c>
      <c r="G842" s="37">
        <v>100000</v>
      </c>
      <c r="H842" s="37">
        <v>100000</v>
      </c>
      <c r="L842" s="213"/>
      <c r="M842" s="213"/>
      <c r="N842" s="213"/>
      <c r="O842" s="324" t="str">
        <f t="shared" si="264"/>
        <v/>
      </c>
      <c r="P842" s="324" t="str">
        <f t="shared" si="257"/>
        <v>9.11 Polystyrol [0,16]</v>
      </c>
      <c r="Q842" s="324"/>
      <c r="R842" s="338">
        <f t="shared" si="265"/>
        <v>0.16</v>
      </c>
      <c r="S842" s="339" t="str">
        <f t="shared" si="266"/>
        <v>9.11 Polystyrol</v>
      </c>
      <c r="T842" s="339"/>
      <c r="U842" s="339" t="str">
        <f t="shared" si="267"/>
        <v>[0,16]</v>
      </c>
    </row>
    <row r="843" spans="1:21" hidden="1">
      <c r="B843" s="37" t="s">
        <v>1271</v>
      </c>
      <c r="C843" s="37"/>
      <c r="D843" s="37">
        <v>910</v>
      </c>
      <c r="E843" s="38">
        <v>0.22</v>
      </c>
      <c r="F843" s="37">
        <v>1800</v>
      </c>
      <c r="G843" s="37">
        <v>10000</v>
      </c>
      <c r="H843" s="37">
        <v>10000</v>
      </c>
      <c r="L843" s="213"/>
      <c r="M843" s="213"/>
      <c r="N843" s="213"/>
      <c r="O843" s="324" t="str">
        <f t="shared" si="264"/>
        <v/>
      </c>
      <c r="P843" s="324" t="str">
        <f t="shared" si="257"/>
        <v>9.12 Polypropylen [0,22]</v>
      </c>
      <c r="Q843" s="324"/>
      <c r="R843" s="338">
        <f t="shared" si="265"/>
        <v>0.22</v>
      </c>
      <c r="S843" s="339" t="str">
        <f t="shared" si="266"/>
        <v>9.12 Polypropylen</v>
      </c>
      <c r="T843" s="339"/>
      <c r="U843" s="339" t="str">
        <f t="shared" si="267"/>
        <v>[0,22]</v>
      </c>
    </row>
    <row r="844" spans="1:21" hidden="1">
      <c r="B844" s="37" t="s">
        <v>1272</v>
      </c>
      <c r="C844" s="37"/>
      <c r="D844" s="37">
        <v>1200</v>
      </c>
      <c r="E844" s="38">
        <v>0.25</v>
      </c>
      <c r="F844" s="37">
        <v>1800</v>
      </c>
      <c r="G844" s="37">
        <v>10000</v>
      </c>
      <c r="H844" s="37">
        <v>10000</v>
      </c>
      <c r="L844" s="213"/>
      <c r="M844" s="213"/>
      <c r="N844" s="213"/>
      <c r="O844" s="324" t="str">
        <f t="shared" si="264"/>
        <v/>
      </c>
      <c r="P844" s="324" t="str">
        <f t="shared" si="257"/>
        <v>9.13 Polypropylen mit 25 % Glasfasern [0,25]</v>
      </c>
      <c r="Q844" s="324"/>
      <c r="R844" s="338">
        <f t="shared" si="265"/>
        <v>0.25</v>
      </c>
      <c r="S844" s="339" t="str">
        <f t="shared" si="266"/>
        <v>9.13 Polypropylen mit 25 % Glasfasern</v>
      </c>
      <c r="T844" s="339"/>
      <c r="U844" s="339" t="str">
        <f t="shared" si="267"/>
        <v>[0,25]</v>
      </c>
    </row>
    <row r="845" spans="1:21" hidden="1">
      <c r="B845" s="37" t="s">
        <v>1273</v>
      </c>
      <c r="C845" s="37"/>
      <c r="D845" s="37">
        <v>1200</v>
      </c>
      <c r="E845" s="38">
        <v>0.25</v>
      </c>
      <c r="F845" s="37">
        <v>1800</v>
      </c>
      <c r="G845" s="37">
        <v>6000</v>
      </c>
      <c r="H845" s="37">
        <v>6000</v>
      </c>
      <c r="L845" s="213"/>
      <c r="M845" s="213"/>
      <c r="N845" s="213"/>
      <c r="O845" s="324" t="str">
        <f t="shared" si="264"/>
        <v/>
      </c>
      <c r="P845" s="324" t="str">
        <f t="shared" si="257"/>
        <v>9.14 Polyurethan (PU) [0,25]</v>
      </c>
      <c r="Q845" s="324"/>
      <c r="R845" s="338">
        <f t="shared" si="265"/>
        <v>0.25</v>
      </c>
      <c r="S845" s="339" t="str">
        <f t="shared" si="266"/>
        <v>9.14 Polyurethan (PU)</v>
      </c>
      <c r="T845" s="339"/>
      <c r="U845" s="339" t="str">
        <f t="shared" si="267"/>
        <v>[0,25]</v>
      </c>
    </row>
    <row r="846" spans="1:21" hidden="1">
      <c r="B846" s="37" t="s">
        <v>1274</v>
      </c>
      <c r="C846" s="37"/>
      <c r="D846" s="37">
        <v>1200</v>
      </c>
      <c r="E846" s="38">
        <v>0.2</v>
      </c>
      <c r="F846" s="37">
        <v>1400</v>
      </c>
      <c r="G846" s="37">
        <v>10000</v>
      </c>
      <c r="H846" s="37">
        <v>10000</v>
      </c>
      <c r="L846" s="213"/>
      <c r="M846" s="213"/>
      <c r="N846" s="213"/>
      <c r="O846" s="324" t="str">
        <f t="shared" si="264"/>
        <v/>
      </c>
      <c r="P846" s="324" t="str">
        <f t="shared" si="257"/>
        <v>9.15 Epoxydharz [0,2]</v>
      </c>
      <c r="Q846" s="324"/>
      <c r="R846" s="338">
        <f t="shared" si="265"/>
        <v>0.2</v>
      </c>
      <c r="S846" s="339" t="str">
        <f t="shared" si="266"/>
        <v>9.15 Epoxydharz</v>
      </c>
      <c r="T846" s="339"/>
      <c r="U846" s="339" t="str">
        <f t="shared" si="267"/>
        <v>[0,2]</v>
      </c>
    </row>
    <row r="847" spans="1:21" hidden="1">
      <c r="B847" s="37" t="s">
        <v>1275</v>
      </c>
      <c r="C847" s="37"/>
      <c r="D847" s="37">
        <v>1300</v>
      </c>
      <c r="E847" s="38">
        <v>0.3</v>
      </c>
      <c r="F847" s="37">
        <v>1700</v>
      </c>
      <c r="G847" s="37">
        <v>100000</v>
      </c>
      <c r="H847" s="37">
        <v>100000</v>
      </c>
      <c r="L847" s="213"/>
      <c r="M847" s="213"/>
      <c r="N847" s="213"/>
      <c r="O847" s="324" t="str">
        <f t="shared" si="264"/>
        <v/>
      </c>
      <c r="P847" s="324" t="str">
        <f t="shared" si="257"/>
        <v>9.16 Phenolharz [0,3]</v>
      </c>
      <c r="Q847" s="324"/>
      <c r="R847" s="338">
        <f t="shared" si="265"/>
        <v>0.3</v>
      </c>
      <c r="S847" s="339" t="str">
        <f t="shared" si="266"/>
        <v>9.16 Phenolharz</v>
      </c>
      <c r="T847" s="339"/>
      <c r="U847" s="339" t="str">
        <f t="shared" si="267"/>
        <v>[0,3]</v>
      </c>
    </row>
    <row r="848" spans="1:21" hidden="1">
      <c r="B848" s="37" t="s">
        <v>1276</v>
      </c>
      <c r="C848" s="37"/>
      <c r="D848" s="37">
        <v>1400</v>
      </c>
      <c r="E848" s="38">
        <v>0.19</v>
      </c>
      <c r="F848" s="37">
        <v>1200</v>
      </c>
      <c r="G848" s="37">
        <v>10000</v>
      </c>
      <c r="H848" s="37">
        <v>10000</v>
      </c>
      <c r="L848" s="213"/>
      <c r="M848" s="213"/>
      <c r="N848" s="213"/>
      <c r="O848" s="324" t="str">
        <f t="shared" si="264"/>
        <v/>
      </c>
      <c r="P848" s="324" t="str">
        <f t="shared" si="257"/>
        <v>9.17 Polyesterharz [0,19]</v>
      </c>
      <c r="Q848" s="324"/>
      <c r="R848" s="338">
        <f t="shared" si="265"/>
        <v>0.19</v>
      </c>
      <c r="S848" s="339" t="str">
        <f t="shared" si="266"/>
        <v>9.17 Polyesterharz</v>
      </c>
      <c r="T848" s="339"/>
      <c r="U848" s="339" t="str">
        <f t="shared" si="267"/>
        <v>[0,19]</v>
      </c>
    </row>
    <row r="849" spans="1:21" hidden="1">
      <c r="A849" s="38" t="s">
        <v>1213</v>
      </c>
      <c r="B849" s="37" t="s">
        <v>1277</v>
      </c>
      <c r="C849" s="37"/>
      <c r="D849" s="37">
        <v>910</v>
      </c>
      <c r="E849" s="38">
        <v>0.13</v>
      </c>
      <c r="F849" s="37">
        <v>1100</v>
      </c>
      <c r="G849" s="37">
        <v>10000</v>
      </c>
      <c r="H849" s="37">
        <v>10000</v>
      </c>
      <c r="L849" s="213"/>
      <c r="M849" s="213"/>
      <c r="N849" s="213"/>
      <c r="O849" s="324" t="str">
        <f t="shared" si="264"/>
        <v>10 Gummi</v>
      </c>
      <c r="P849" s="324" t="str">
        <f t="shared" si="257"/>
        <v>10.1 Naturkautschuk [0,13]</v>
      </c>
      <c r="Q849" s="324"/>
      <c r="R849" s="338">
        <f t="shared" si="265"/>
        <v>0.13</v>
      </c>
      <c r="S849" s="339" t="str">
        <f t="shared" si="266"/>
        <v>10.1 Naturkautschuk</v>
      </c>
      <c r="T849" s="339"/>
      <c r="U849" s="339" t="str">
        <f t="shared" si="267"/>
        <v>[0,13]</v>
      </c>
    </row>
    <row r="850" spans="1:21" hidden="1">
      <c r="B850" s="37" t="s">
        <v>1278</v>
      </c>
      <c r="C850" s="37"/>
      <c r="D850" s="37">
        <v>1240</v>
      </c>
      <c r="E850" s="38">
        <v>0.23</v>
      </c>
      <c r="F850" s="37">
        <v>2140</v>
      </c>
      <c r="G850" s="37">
        <v>10000</v>
      </c>
      <c r="H850" s="37">
        <v>10000</v>
      </c>
      <c r="L850" s="213"/>
      <c r="M850" s="213"/>
      <c r="N850" s="213"/>
      <c r="O850" s="324" t="str">
        <f t="shared" ref="O850:O881" si="268">IF(A850&gt;0,A850,"")</f>
        <v/>
      </c>
      <c r="P850" s="324" t="str">
        <f t="shared" ref="P850:P913" si="269">S850&amp;IF(T850&lt;&gt;""," "&amp;T850,"")&amp;IF(U850&lt;&gt;""," "&amp;U850,"")&amp;IF(V850&lt;&gt;""," "&amp;V850,"")</f>
        <v>10.2 Neopren (Polychloropren) [0,23]</v>
      </c>
      <c r="Q850" s="324"/>
      <c r="R850" s="338">
        <f t="shared" ref="R850:R881" si="270">E850</f>
        <v>0.23</v>
      </c>
      <c r="S850" s="339" t="str">
        <f t="shared" ref="S850:S881" si="271">B850</f>
        <v>10.2 Neopren (Polychloropren)</v>
      </c>
      <c r="T850" s="339"/>
      <c r="U850" s="339" t="str">
        <f t="shared" ref="U850:U881" si="272">IF(E850&gt;0,"["&amp;E850&amp;"]","")</f>
        <v>[0,23]</v>
      </c>
    </row>
    <row r="851" spans="1:21" hidden="1">
      <c r="B851" s="37" t="s">
        <v>1279</v>
      </c>
      <c r="C851" s="37"/>
      <c r="D851" s="37">
        <v>1200</v>
      </c>
      <c r="E851" s="38">
        <v>0.24</v>
      </c>
      <c r="F851" s="37">
        <v>1400</v>
      </c>
      <c r="G851" s="37">
        <v>200000</v>
      </c>
      <c r="H851" s="37">
        <v>200000</v>
      </c>
      <c r="L851" s="213"/>
      <c r="M851" s="213"/>
      <c r="N851" s="213"/>
      <c r="O851" s="324" t="str">
        <f t="shared" si="268"/>
        <v/>
      </c>
      <c r="P851" s="324" t="str">
        <f t="shared" si="269"/>
        <v>10.3 Butylkautschuk (Isobutenkautschuk), hart/heiß geschmolzen [0,24]</v>
      </c>
      <c r="Q851" s="324"/>
      <c r="R851" s="338">
        <f t="shared" si="270"/>
        <v>0.24</v>
      </c>
      <c r="S851" s="339" t="str">
        <f t="shared" si="271"/>
        <v>10.3 Butylkautschuk (Isobutenkautschuk), hart/heiß geschmolzen</v>
      </c>
      <c r="T851" s="339"/>
      <c r="U851" s="339" t="str">
        <f t="shared" si="272"/>
        <v>[0,24]</v>
      </c>
    </row>
    <row r="852" spans="1:21" hidden="1">
      <c r="B852" s="37" t="s">
        <v>1280</v>
      </c>
      <c r="C852" s="37"/>
      <c r="D852" s="37" t="s">
        <v>1157</v>
      </c>
      <c r="E852" s="38">
        <v>0.06</v>
      </c>
      <c r="F852" s="37">
        <v>1500</v>
      </c>
      <c r="G852" s="37">
        <v>7000</v>
      </c>
      <c r="H852" s="37">
        <v>7000</v>
      </c>
      <c r="L852" s="213"/>
      <c r="M852" s="213"/>
      <c r="N852" s="213"/>
      <c r="O852" s="324" t="str">
        <f t="shared" si="268"/>
        <v/>
      </c>
      <c r="P852" s="324" t="str">
        <f t="shared" si="269"/>
        <v>10.4 Schaumgummi [0,06]</v>
      </c>
      <c r="Q852" s="324"/>
      <c r="R852" s="338">
        <f t="shared" si="270"/>
        <v>0.06</v>
      </c>
      <c r="S852" s="339" t="str">
        <f t="shared" si="271"/>
        <v>10.4 Schaumgummi</v>
      </c>
      <c r="T852" s="339"/>
      <c r="U852" s="339" t="str">
        <f t="shared" si="272"/>
        <v>[0,06]</v>
      </c>
    </row>
    <row r="853" spans="1:21" hidden="1">
      <c r="B853" s="37" t="s">
        <v>1281</v>
      </c>
      <c r="C853" s="37"/>
      <c r="D853" s="37">
        <v>1200</v>
      </c>
      <c r="E853" s="38">
        <v>0.17</v>
      </c>
      <c r="F853" s="37">
        <v>1400</v>
      </c>
      <c r="G853" s="37" t="s">
        <v>1156</v>
      </c>
      <c r="H853" s="37" t="s">
        <v>1156</v>
      </c>
      <c r="L853" s="213"/>
      <c r="M853" s="213"/>
      <c r="N853" s="213"/>
      <c r="O853" s="324" t="str">
        <f t="shared" si="268"/>
        <v/>
      </c>
      <c r="P853" s="324" t="str">
        <f t="shared" si="269"/>
        <v>10.5 Hartgummi (Ebonit), hart [0,17]</v>
      </c>
      <c r="Q853" s="324"/>
      <c r="R853" s="338">
        <f t="shared" si="270"/>
        <v>0.17</v>
      </c>
      <c r="S853" s="339" t="str">
        <f t="shared" si="271"/>
        <v>10.5 Hartgummi (Ebonit), hart</v>
      </c>
      <c r="T853" s="339"/>
      <c r="U853" s="339" t="str">
        <f t="shared" si="272"/>
        <v>[0,17]</v>
      </c>
    </row>
    <row r="854" spans="1:21" hidden="1">
      <c r="B854" s="37" t="s">
        <v>1282</v>
      </c>
      <c r="C854" s="37"/>
      <c r="D854" s="37">
        <v>1150</v>
      </c>
      <c r="E854" s="38">
        <v>0.25</v>
      </c>
      <c r="F854" s="37">
        <v>1000</v>
      </c>
      <c r="G854" s="37">
        <v>6000</v>
      </c>
      <c r="H854" s="37">
        <v>6000</v>
      </c>
      <c r="L854" s="213"/>
      <c r="M854" s="213"/>
      <c r="N854" s="213"/>
      <c r="O854" s="324" t="str">
        <f t="shared" si="268"/>
        <v/>
      </c>
      <c r="P854" s="324" t="str">
        <f t="shared" si="269"/>
        <v>10.6 Ethylen-Propylendien, Monomer (EPDM) [0,25]</v>
      </c>
      <c r="Q854" s="324"/>
      <c r="R854" s="338">
        <f t="shared" si="270"/>
        <v>0.25</v>
      </c>
      <c r="S854" s="339" t="str">
        <f t="shared" si="271"/>
        <v>10.6 Ethylen-Propylendien, Monomer (EPDM)</v>
      </c>
      <c r="T854" s="339"/>
      <c r="U854" s="339" t="str">
        <f t="shared" si="272"/>
        <v>[0,25]</v>
      </c>
    </row>
    <row r="855" spans="1:21" hidden="1">
      <c r="B855" s="37" t="s">
        <v>1283</v>
      </c>
      <c r="C855" s="37"/>
      <c r="D855" s="37">
        <v>930</v>
      </c>
      <c r="E855" s="38">
        <v>0.2</v>
      </c>
      <c r="F855" s="37">
        <v>1100</v>
      </c>
      <c r="G855" s="37">
        <v>10000</v>
      </c>
      <c r="H855" s="37">
        <v>10000</v>
      </c>
      <c r="L855" s="213"/>
      <c r="M855" s="213"/>
      <c r="N855" s="213"/>
      <c r="O855" s="324" t="str">
        <f t="shared" si="268"/>
        <v/>
      </c>
      <c r="P855" s="324" t="str">
        <f t="shared" si="269"/>
        <v>10.7 Polyisobutylenkautschuk [0,2]</v>
      </c>
      <c r="Q855" s="324"/>
      <c r="R855" s="338">
        <f t="shared" si="270"/>
        <v>0.2</v>
      </c>
      <c r="S855" s="339" t="str">
        <f t="shared" si="271"/>
        <v>10.7 Polyisobutylenkautschuk</v>
      </c>
      <c r="T855" s="339"/>
      <c r="U855" s="339" t="str">
        <f t="shared" si="272"/>
        <v>[0,2]</v>
      </c>
    </row>
    <row r="856" spans="1:21" hidden="1">
      <c r="B856" s="37" t="s">
        <v>1284</v>
      </c>
      <c r="C856" s="37"/>
      <c r="D856" s="37">
        <v>1700</v>
      </c>
      <c r="E856" s="38">
        <v>0.4</v>
      </c>
      <c r="F856" s="37">
        <v>1000</v>
      </c>
      <c r="G856" s="37">
        <v>10000</v>
      </c>
      <c r="H856" s="37">
        <v>10000</v>
      </c>
      <c r="L856" s="213"/>
      <c r="M856" s="213"/>
      <c r="N856" s="213"/>
      <c r="O856" s="324" t="str">
        <f t="shared" si="268"/>
        <v/>
      </c>
      <c r="P856" s="324" t="str">
        <f t="shared" si="269"/>
        <v>10.8 Polysulfid [0,4]</v>
      </c>
      <c r="Q856" s="324"/>
      <c r="R856" s="338">
        <f t="shared" si="270"/>
        <v>0.4</v>
      </c>
      <c r="S856" s="339" t="str">
        <f t="shared" si="271"/>
        <v>10.8 Polysulfid</v>
      </c>
      <c r="T856" s="339"/>
      <c r="U856" s="339" t="str">
        <f t="shared" si="272"/>
        <v>[0,4]</v>
      </c>
    </row>
    <row r="857" spans="1:21" hidden="1">
      <c r="B857" s="37" t="s">
        <v>1285</v>
      </c>
      <c r="C857" s="37"/>
      <c r="D857" s="37">
        <v>980</v>
      </c>
      <c r="E857" s="38">
        <v>0.25</v>
      </c>
      <c r="F857" s="37">
        <v>1000</v>
      </c>
      <c r="G857" s="37">
        <v>100000</v>
      </c>
      <c r="H857" s="37">
        <v>100000</v>
      </c>
      <c r="L857" s="213"/>
      <c r="M857" s="213"/>
      <c r="N857" s="213"/>
      <c r="O857" s="324" t="str">
        <f t="shared" si="268"/>
        <v/>
      </c>
      <c r="P857" s="324" t="str">
        <f t="shared" si="269"/>
        <v>10.9 Butadien [0,25]</v>
      </c>
      <c r="Q857" s="324"/>
      <c r="R857" s="338">
        <f t="shared" si="270"/>
        <v>0.25</v>
      </c>
      <c r="S857" s="339" t="str">
        <f t="shared" si="271"/>
        <v>10.9 Butadien</v>
      </c>
      <c r="T857" s="339"/>
      <c r="U857" s="339" t="str">
        <f t="shared" si="272"/>
        <v>[0,25]</v>
      </c>
    </row>
    <row r="858" spans="1:21" hidden="1">
      <c r="A858" s="1349" t="s">
        <v>1214</v>
      </c>
      <c r="B858" s="37" t="s">
        <v>1286</v>
      </c>
      <c r="C858" s="37"/>
      <c r="D858" s="37">
        <v>720</v>
      </c>
      <c r="E858" s="38">
        <v>0.13</v>
      </c>
      <c r="F858" s="37">
        <v>1000</v>
      </c>
      <c r="G858" s="37" t="s">
        <v>1156</v>
      </c>
      <c r="H858" s="37" t="s">
        <v>1156</v>
      </c>
      <c r="L858" s="213"/>
      <c r="M858" s="213"/>
      <c r="N858" s="213"/>
      <c r="O858" s="324" t="str">
        <f t="shared" si="268"/>
        <v>11 Dichtungsstoffe, Dichtungen und wärmetechnische Trennungen</v>
      </c>
      <c r="P858" s="324" t="str">
        <f t="shared" si="269"/>
        <v>11.1 Silicagel (Trockenmittel) [0,13]</v>
      </c>
      <c r="Q858" s="324"/>
      <c r="R858" s="338">
        <f t="shared" si="270"/>
        <v>0.13</v>
      </c>
      <c r="S858" s="339" t="str">
        <f t="shared" si="271"/>
        <v>11.1 Silicagel (Trockenmittel)</v>
      </c>
      <c r="T858" s="339"/>
      <c r="U858" s="339" t="str">
        <f t="shared" si="272"/>
        <v>[0,13]</v>
      </c>
    </row>
    <row r="859" spans="1:21" hidden="1">
      <c r="A859" s="1349"/>
      <c r="B859" s="37" t="s">
        <v>1287</v>
      </c>
      <c r="C859" s="37"/>
      <c r="D859" s="37">
        <v>1200</v>
      </c>
      <c r="E859" s="38">
        <v>0.35</v>
      </c>
      <c r="F859" s="37">
        <v>1000</v>
      </c>
      <c r="G859" s="37">
        <v>5000</v>
      </c>
      <c r="H859" s="37">
        <v>5000</v>
      </c>
      <c r="L859" s="213"/>
      <c r="M859" s="213"/>
      <c r="N859" s="213"/>
      <c r="O859" s="324" t="str">
        <f t="shared" si="268"/>
        <v/>
      </c>
      <c r="P859" s="324" t="str">
        <f t="shared" si="269"/>
        <v>11.2 Silicon, ohne Füllstoff [0,35]</v>
      </c>
      <c r="Q859" s="324"/>
      <c r="R859" s="338">
        <f t="shared" si="270"/>
        <v>0.35</v>
      </c>
      <c r="S859" s="339" t="str">
        <f t="shared" si="271"/>
        <v>11.2 Silicon, ohne Füllstoff</v>
      </c>
      <c r="T859" s="339"/>
      <c r="U859" s="339" t="str">
        <f t="shared" si="272"/>
        <v>[0,35]</v>
      </c>
    </row>
    <row r="860" spans="1:21" hidden="1">
      <c r="A860" s="1349"/>
      <c r="B860" s="37" t="s">
        <v>1288</v>
      </c>
      <c r="C860" s="37"/>
      <c r="D860" s="37">
        <v>1450</v>
      </c>
      <c r="E860" s="38">
        <v>0.5</v>
      </c>
      <c r="F860" s="37">
        <v>1000</v>
      </c>
      <c r="G860" s="37">
        <v>5000</v>
      </c>
      <c r="H860" s="37">
        <v>5000</v>
      </c>
      <c r="L860" s="213"/>
      <c r="M860" s="213"/>
      <c r="N860" s="213"/>
      <c r="O860" s="324" t="str">
        <f t="shared" si="268"/>
        <v/>
      </c>
      <c r="P860" s="324" t="str">
        <f t="shared" si="269"/>
        <v>11.3 Silicon, mit Füllstoff [0,5]</v>
      </c>
      <c r="Q860" s="324"/>
      <c r="R860" s="338">
        <f t="shared" si="270"/>
        <v>0.5</v>
      </c>
      <c r="S860" s="339" t="str">
        <f t="shared" si="271"/>
        <v>11.3 Silicon, mit Füllstoff</v>
      </c>
      <c r="T860" s="339"/>
      <c r="U860" s="339" t="str">
        <f t="shared" si="272"/>
        <v>[0,5]</v>
      </c>
    </row>
    <row r="861" spans="1:21" hidden="1">
      <c r="A861" s="1349"/>
      <c r="B861" s="37" t="s">
        <v>1289</v>
      </c>
      <c r="C861" s="37"/>
      <c r="D861" s="37">
        <v>750</v>
      </c>
      <c r="E861" s="38">
        <v>0.12</v>
      </c>
      <c r="F861" s="37">
        <v>1000</v>
      </c>
      <c r="G861" s="37">
        <v>10000</v>
      </c>
      <c r="H861" s="37">
        <v>10000</v>
      </c>
      <c r="L861" s="213"/>
      <c r="M861" s="213"/>
      <c r="N861" s="213"/>
      <c r="O861" s="324" t="str">
        <f t="shared" si="268"/>
        <v/>
      </c>
      <c r="P861" s="324" t="str">
        <f t="shared" si="269"/>
        <v>11.4 Siliconschaum [0,12]</v>
      </c>
      <c r="Q861" s="324"/>
      <c r="R861" s="338">
        <f t="shared" si="270"/>
        <v>0.12</v>
      </c>
      <c r="S861" s="339" t="str">
        <f t="shared" si="271"/>
        <v>11.4 Siliconschaum</v>
      </c>
      <c r="T861" s="339"/>
      <c r="U861" s="339" t="str">
        <f t="shared" si="272"/>
        <v>[0,12]</v>
      </c>
    </row>
    <row r="862" spans="1:21" hidden="1">
      <c r="A862" s="1349"/>
      <c r="B862" s="37" t="s">
        <v>1290</v>
      </c>
      <c r="C862" s="37"/>
      <c r="D862" s="37">
        <v>1300</v>
      </c>
      <c r="E862" s="38">
        <v>0.21</v>
      </c>
      <c r="F862" s="37">
        <v>1800</v>
      </c>
      <c r="G862" s="37">
        <v>60</v>
      </c>
      <c r="H862" s="37">
        <v>60</v>
      </c>
      <c r="L862" s="213"/>
      <c r="M862" s="213"/>
      <c r="N862" s="213"/>
      <c r="O862" s="324" t="str">
        <f t="shared" si="268"/>
        <v/>
      </c>
      <c r="P862" s="324" t="str">
        <f t="shared" si="269"/>
        <v>11.5 Urethan/Polyurethanschaum (als wärmetechnische Trennung) [0,21]</v>
      </c>
      <c r="Q862" s="324"/>
      <c r="R862" s="338">
        <f t="shared" si="270"/>
        <v>0.21</v>
      </c>
      <c r="S862" s="339" t="str">
        <f t="shared" si="271"/>
        <v>11.5 Urethan/Polyurethanschaum (als wärmetechnische Trennung)</v>
      </c>
      <c r="T862" s="339"/>
      <c r="U862" s="339" t="str">
        <f t="shared" si="272"/>
        <v>[0,21]</v>
      </c>
    </row>
    <row r="863" spans="1:21" hidden="1">
      <c r="B863" s="37" t="s">
        <v>1291</v>
      </c>
      <c r="C863" s="37"/>
      <c r="D863" s="37">
        <v>1200</v>
      </c>
      <c r="E863" s="38">
        <v>0.14000000000000001</v>
      </c>
      <c r="F863" s="37">
        <v>1000</v>
      </c>
      <c r="G863" s="37">
        <v>100000</v>
      </c>
      <c r="H863" s="37">
        <v>100000</v>
      </c>
      <c r="L863" s="213"/>
      <c r="M863" s="213"/>
      <c r="N863" s="213"/>
      <c r="O863" s="324" t="str">
        <f t="shared" si="268"/>
        <v/>
      </c>
      <c r="P863" s="324" t="str">
        <f t="shared" si="269"/>
        <v>11.6 Weichpolyvinylchlorid (PVC-P), mit 40 % Weichmacher [0,14]</v>
      </c>
      <c r="Q863" s="324"/>
      <c r="R863" s="338">
        <f t="shared" si="270"/>
        <v>0.14000000000000001</v>
      </c>
      <c r="S863" s="339" t="str">
        <f t="shared" si="271"/>
        <v>11.6 Weichpolyvinylchlorid (PVC-P), mit 40 % Weichmacher</v>
      </c>
      <c r="T863" s="339"/>
      <c r="U863" s="339" t="str">
        <f t="shared" si="272"/>
        <v>[0,14]</v>
      </c>
    </row>
    <row r="864" spans="1:21" hidden="1">
      <c r="B864" s="37" t="s">
        <v>1292</v>
      </c>
      <c r="C864" s="37"/>
      <c r="D864" s="37" t="s">
        <v>1157</v>
      </c>
      <c r="E864" s="38">
        <v>0.05</v>
      </c>
      <c r="F864" s="37">
        <v>1500</v>
      </c>
      <c r="G864" s="37">
        <v>10000</v>
      </c>
      <c r="H864" s="37">
        <v>10000</v>
      </c>
      <c r="L864" s="213"/>
      <c r="M864" s="213"/>
      <c r="N864" s="213"/>
      <c r="O864" s="324" t="str">
        <f t="shared" si="268"/>
        <v/>
      </c>
      <c r="P864" s="324" t="str">
        <f t="shared" si="269"/>
        <v>11.7 Elastomerschaum, flexibel [0,05]</v>
      </c>
      <c r="Q864" s="324"/>
      <c r="R864" s="338">
        <f t="shared" si="270"/>
        <v>0.05</v>
      </c>
      <c r="S864" s="339" t="str">
        <f t="shared" si="271"/>
        <v>11.7 Elastomerschaum, flexibel</v>
      </c>
      <c r="T864" s="339"/>
      <c r="U864" s="339" t="str">
        <f t="shared" si="272"/>
        <v>[0,05]</v>
      </c>
    </row>
    <row r="865" spans="1:21" hidden="1">
      <c r="B865" s="37" t="s">
        <v>1293</v>
      </c>
      <c r="C865" s="37"/>
      <c r="D865" s="37">
        <v>70</v>
      </c>
      <c r="E865" s="38">
        <v>0.05</v>
      </c>
      <c r="F865" s="37">
        <v>1500</v>
      </c>
      <c r="G865" s="37">
        <v>60</v>
      </c>
      <c r="H865" s="37">
        <v>60</v>
      </c>
      <c r="L865" s="213"/>
      <c r="M865" s="213"/>
      <c r="N865" s="213"/>
      <c r="O865" s="324" t="str">
        <f t="shared" si="268"/>
        <v/>
      </c>
      <c r="P865" s="324" t="str">
        <f t="shared" si="269"/>
        <v>11.8 Polyurethanschaum (PU) [0,05]</v>
      </c>
      <c r="Q865" s="324"/>
      <c r="R865" s="338">
        <f t="shared" si="270"/>
        <v>0.05</v>
      </c>
      <c r="S865" s="339" t="str">
        <f t="shared" si="271"/>
        <v>11.8 Polyurethanschaum (PU)</v>
      </c>
      <c r="T865" s="339"/>
      <c r="U865" s="339" t="str">
        <f t="shared" si="272"/>
        <v>[0,05]</v>
      </c>
    </row>
    <row r="866" spans="1:21" hidden="1">
      <c r="B866" s="37" t="s">
        <v>1294</v>
      </c>
      <c r="C866" s="37"/>
      <c r="D866" s="37">
        <v>70</v>
      </c>
      <c r="E866" s="38">
        <v>0.05</v>
      </c>
      <c r="F866" s="37">
        <v>2300</v>
      </c>
      <c r="G866" s="37">
        <v>100</v>
      </c>
      <c r="H866" s="37">
        <v>100</v>
      </c>
      <c r="L866" s="213"/>
      <c r="M866" s="213"/>
      <c r="N866" s="213"/>
      <c r="O866" s="324" t="str">
        <f t="shared" si="268"/>
        <v/>
      </c>
      <c r="P866" s="324" t="str">
        <f t="shared" si="269"/>
        <v>11.9 Polyethylenschaum [0,05]</v>
      </c>
      <c r="Q866" s="324"/>
      <c r="R866" s="338">
        <f t="shared" si="270"/>
        <v>0.05</v>
      </c>
      <c r="S866" s="339" t="str">
        <f t="shared" si="271"/>
        <v>11.9 Polyethylenschaum</v>
      </c>
      <c r="T866" s="339"/>
      <c r="U866" s="339" t="str">
        <f t="shared" si="272"/>
        <v>[0,05]</v>
      </c>
    </row>
    <row r="867" spans="1:21" hidden="1">
      <c r="A867" s="38" t="s">
        <v>1215</v>
      </c>
      <c r="B867" s="37" t="s">
        <v>1295</v>
      </c>
      <c r="C867" s="37"/>
      <c r="D867" s="37">
        <v>600</v>
      </c>
      <c r="E867" s="38">
        <v>0.18</v>
      </c>
      <c r="F867" s="37">
        <v>1000</v>
      </c>
      <c r="G867" s="37">
        <v>10</v>
      </c>
      <c r="H867" s="37">
        <v>4</v>
      </c>
      <c r="L867" s="213"/>
      <c r="M867" s="213"/>
      <c r="N867" s="213"/>
      <c r="O867" s="324" t="str">
        <f t="shared" si="268"/>
        <v>12 Gips</v>
      </c>
      <c r="P867" s="324" t="str">
        <f t="shared" si="269"/>
        <v>12.1 Gips - rho 600 [0,18]</v>
      </c>
      <c r="Q867" s="324"/>
      <c r="R867" s="338">
        <f t="shared" si="270"/>
        <v>0.18</v>
      </c>
      <c r="S867" s="339" t="str">
        <f t="shared" si="271"/>
        <v>12.1 Gips</v>
      </c>
      <c r="T867" s="339" t="str">
        <f t="shared" ref="T867:T872" si="273" xml:space="preserve"> "- rho "&amp;D867</f>
        <v>- rho 600</v>
      </c>
      <c r="U867" s="339" t="str">
        <f t="shared" si="272"/>
        <v>[0,18]</v>
      </c>
    </row>
    <row r="868" spans="1:21" hidden="1">
      <c r="B868" s="37" t="s">
        <v>1296</v>
      </c>
      <c r="C868" s="37"/>
      <c r="D868" s="37">
        <v>900</v>
      </c>
      <c r="E868" s="38">
        <v>0.3</v>
      </c>
      <c r="F868" s="37">
        <v>1000</v>
      </c>
      <c r="G868" s="37">
        <v>10</v>
      </c>
      <c r="H868" s="37">
        <v>4</v>
      </c>
      <c r="L868" s="213"/>
      <c r="M868" s="213"/>
      <c r="N868" s="213"/>
      <c r="O868" s="324" t="str">
        <f t="shared" si="268"/>
        <v/>
      </c>
      <c r="P868" s="324" t="str">
        <f t="shared" si="269"/>
        <v>12.2 Gips - rho 900 [0,3]</v>
      </c>
      <c r="Q868" s="324"/>
      <c r="R868" s="338">
        <f t="shared" si="270"/>
        <v>0.3</v>
      </c>
      <c r="S868" s="339" t="str">
        <f t="shared" si="271"/>
        <v>12.2 Gips</v>
      </c>
      <c r="T868" s="339" t="str">
        <f t="shared" si="273"/>
        <v>- rho 900</v>
      </c>
      <c r="U868" s="339" t="str">
        <f t="shared" si="272"/>
        <v>[0,3]</v>
      </c>
    </row>
    <row r="869" spans="1:21" hidden="1">
      <c r="B869" s="37" t="s">
        <v>1297</v>
      </c>
      <c r="C869" s="37"/>
      <c r="D869" s="37">
        <v>1200</v>
      </c>
      <c r="E869" s="38">
        <v>0.43</v>
      </c>
      <c r="F869" s="37">
        <v>1000</v>
      </c>
      <c r="G869" s="37">
        <v>10</v>
      </c>
      <c r="H869" s="37">
        <v>4</v>
      </c>
      <c r="L869" s="213"/>
      <c r="M869" s="213"/>
      <c r="N869" s="213"/>
      <c r="O869" s="324" t="str">
        <f t="shared" si="268"/>
        <v/>
      </c>
      <c r="P869" s="324" t="str">
        <f t="shared" si="269"/>
        <v>12.3 Gips - rho 1200 [0,43]</v>
      </c>
      <c r="Q869" s="324"/>
      <c r="R869" s="338">
        <f t="shared" si="270"/>
        <v>0.43</v>
      </c>
      <c r="S869" s="339" t="str">
        <f t="shared" si="271"/>
        <v>12.3 Gips</v>
      </c>
      <c r="T869" s="339" t="str">
        <f t="shared" si="273"/>
        <v>- rho 1200</v>
      </c>
      <c r="U869" s="339" t="str">
        <f t="shared" si="272"/>
        <v>[0,43]</v>
      </c>
    </row>
    <row r="870" spans="1:21" hidden="1">
      <c r="B870" s="37" t="s">
        <v>1298</v>
      </c>
      <c r="C870" s="37"/>
      <c r="D870" s="37">
        <v>1500</v>
      </c>
      <c r="E870" s="38">
        <v>0.56000000000000005</v>
      </c>
      <c r="F870" s="37">
        <v>1000</v>
      </c>
      <c r="G870" s="37">
        <v>10</v>
      </c>
      <c r="H870" s="37">
        <v>4</v>
      </c>
      <c r="L870" s="213"/>
      <c r="M870" s="213"/>
      <c r="N870" s="213"/>
      <c r="O870" s="324" t="str">
        <f t="shared" si="268"/>
        <v/>
      </c>
      <c r="P870" s="324" t="str">
        <f t="shared" si="269"/>
        <v>12.4 Gips - rho 1500 [0,56]</v>
      </c>
      <c r="Q870" s="324"/>
      <c r="R870" s="338">
        <f t="shared" si="270"/>
        <v>0.56000000000000005</v>
      </c>
      <c r="S870" s="339" t="str">
        <f t="shared" si="271"/>
        <v>12.4 Gips</v>
      </c>
      <c r="T870" s="339" t="str">
        <f t="shared" si="273"/>
        <v>- rho 1500</v>
      </c>
      <c r="U870" s="339" t="str">
        <f t="shared" si="272"/>
        <v>[0,56]</v>
      </c>
    </row>
    <row r="871" spans="1:21" hidden="1">
      <c r="B871" s="37" t="s">
        <v>1299</v>
      </c>
      <c r="C871" s="37"/>
      <c r="D871" s="37">
        <v>700</v>
      </c>
      <c r="E871" s="38">
        <v>0.21</v>
      </c>
      <c r="F871" s="37">
        <v>1000</v>
      </c>
      <c r="G871" s="37">
        <v>10</v>
      </c>
      <c r="H871" s="37">
        <v>4</v>
      </c>
      <c r="I871" s="213" t="s">
        <v>804</v>
      </c>
      <c r="L871" s="213"/>
      <c r="M871" s="213"/>
      <c r="N871" s="213"/>
      <c r="O871" s="324" t="str">
        <f t="shared" si="268"/>
        <v/>
      </c>
      <c r="P871" s="324" t="str">
        <f t="shared" si="269"/>
        <v>12.5 Gipskartonplatte - rho 700 [0,21]</v>
      </c>
      <c r="Q871" s="324"/>
      <c r="R871" s="338">
        <f t="shared" si="270"/>
        <v>0.21</v>
      </c>
      <c r="S871" s="339" t="str">
        <f t="shared" si="271"/>
        <v>12.5 Gipskartonplatte</v>
      </c>
      <c r="T871" s="339" t="str">
        <f t="shared" si="273"/>
        <v>- rho 700</v>
      </c>
      <c r="U871" s="339" t="str">
        <f t="shared" si="272"/>
        <v>[0,21]</v>
      </c>
    </row>
    <row r="872" spans="1:21" hidden="1">
      <c r="B872" s="37" t="s">
        <v>1300</v>
      </c>
      <c r="C872" s="37"/>
      <c r="D872" s="37">
        <v>900</v>
      </c>
      <c r="E872" s="38">
        <v>0.25</v>
      </c>
      <c r="F872" s="37">
        <v>1000</v>
      </c>
      <c r="G872" s="37">
        <v>10</v>
      </c>
      <c r="H872" s="37">
        <v>4</v>
      </c>
      <c r="L872" s="213"/>
      <c r="M872" s="213"/>
      <c r="N872" s="213"/>
      <c r="O872" s="324" t="str">
        <f t="shared" si="268"/>
        <v/>
      </c>
      <c r="P872" s="324" t="str">
        <f t="shared" si="269"/>
        <v>12.6 Gipskartonplatte - rho 900 [0,25]</v>
      </c>
      <c r="Q872" s="324"/>
      <c r="R872" s="338">
        <f t="shared" si="270"/>
        <v>0.25</v>
      </c>
      <c r="S872" s="339" t="str">
        <f t="shared" si="271"/>
        <v>12.6 Gipskartonplatte</v>
      </c>
      <c r="T872" s="339" t="str">
        <f t="shared" si="273"/>
        <v>- rho 900</v>
      </c>
      <c r="U872" s="339" t="str">
        <f t="shared" si="272"/>
        <v>[0,25]</v>
      </c>
    </row>
    <row r="873" spans="1:21" hidden="1">
      <c r="A873" s="38" t="s">
        <v>1216</v>
      </c>
      <c r="B873" s="37" t="s">
        <v>1301</v>
      </c>
      <c r="C873" s="37"/>
      <c r="D873" s="37">
        <v>600</v>
      </c>
      <c r="E873" s="38">
        <v>0.18</v>
      </c>
      <c r="F873" s="37">
        <v>1000</v>
      </c>
      <c r="G873" s="37">
        <v>10</v>
      </c>
      <c r="H873" s="37">
        <v>6</v>
      </c>
      <c r="L873" s="213"/>
      <c r="M873" s="213"/>
      <c r="N873" s="213"/>
      <c r="O873" s="324" t="str">
        <f t="shared" si="268"/>
        <v>13 Putze und Mörtel</v>
      </c>
      <c r="P873" s="324" t="str">
        <f t="shared" si="269"/>
        <v>13.1 Gipsdämmputz [0,18]</v>
      </c>
      <c r="Q873" s="324"/>
      <c r="R873" s="338">
        <f t="shared" si="270"/>
        <v>0.18</v>
      </c>
      <c r="S873" s="339" t="str">
        <f t="shared" si="271"/>
        <v>13.1 Gipsdämmputz</v>
      </c>
      <c r="T873" s="339"/>
      <c r="U873" s="339" t="str">
        <f t="shared" si="272"/>
        <v>[0,18]</v>
      </c>
    </row>
    <row r="874" spans="1:21" hidden="1">
      <c r="B874" s="37" t="s">
        <v>1302</v>
      </c>
      <c r="C874" s="37"/>
      <c r="D874" s="37">
        <v>1000</v>
      </c>
      <c r="E874" s="38">
        <v>0.4</v>
      </c>
      <c r="F874" s="37">
        <v>1000</v>
      </c>
      <c r="G874" s="37">
        <v>10</v>
      </c>
      <c r="H874" s="37">
        <v>6</v>
      </c>
      <c r="L874" s="213"/>
      <c r="M874" s="213"/>
      <c r="N874" s="213"/>
      <c r="O874" s="324" t="str">
        <f t="shared" si="268"/>
        <v/>
      </c>
      <c r="P874" s="324" t="str">
        <f t="shared" si="269"/>
        <v>13.2 Gipsputz - rho 1000 [0,4]</v>
      </c>
      <c r="Q874" s="324"/>
      <c r="R874" s="338">
        <f t="shared" si="270"/>
        <v>0.4</v>
      </c>
      <c r="S874" s="339" t="str">
        <f t="shared" si="271"/>
        <v>13.2 Gipsputz</v>
      </c>
      <c r="T874" s="339" t="str">
        <f xml:space="preserve"> "- rho "&amp;D874</f>
        <v>- rho 1000</v>
      </c>
      <c r="U874" s="339" t="str">
        <f t="shared" si="272"/>
        <v>[0,4]</v>
      </c>
    </row>
    <row r="875" spans="1:21" hidden="1">
      <c r="B875" s="37" t="s">
        <v>1303</v>
      </c>
      <c r="C875" s="37"/>
      <c r="D875" s="37">
        <v>1300</v>
      </c>
      <c r="E875" s="38">
        <v>0.56999999999999995</v>
      </c>
      <c r="F875" s="37">
        <v>1000</v>
      </c>
      <c r="G875" s="37">
        <v>10</v>
      </c>
      <c r="H875" s="37">
        <v>6</v>
      </c>
      <c r="L875" s="213"/>
      <c r="M875" s="213"/>
      <c r="N875" s="213"/>
      <c r="O875" s="324" t="str">
        <f t="shared" si="268"/>
        <v/>
      </c>
      <c r="P875" s="324" t="str">
        <f t="shared" si="269"/>
        <v>13.3 Gipsputz - rho 1300 [0,57]</v>
      </c>
      <c r="Q875" s="324"/>
      <c r="R875" s="338">
        <f t="shared" si="270"/>
        <v>0.56999999999999995</v>
      </c>
      <c r="S875" s="339" t="str">
        <f t="shared" si="271"/>
        <v>13.3 Gipsputz</v>
      </c>
      <c r="T875" s="339" t="str">
        <f xml:space="preserve"> "- rho "&amp;D875</f>
        <v>- rho 1300</v>
      </c>
      <c r="U875" s="339" t="str">
        <f t="shared" si="272"/>
        <v>[0,57]</v>
      </c>
    </row>
    <row r="876" spans="1:21" hidden="1">
      <c r="B876" s="37" t="s">
        <v>1304</v>
      </c>
      <c r="C876" s="37"/>
      <c r="D876" s="37">
        <v>1600</v>
      </c>
      <c r="E876" s="38">
        <v>0.8</v>
      </c>
      <c r="F876" s="37">
        <v>1000</v>
      </c>
      <c r="G876" s="37">
        <v>10</v>
      </c>
      <c r="H876" s="37">
        <v>6</v>
      </c>
      <c r="L876" s="213"/>
      <c r="M876" s="213"/>
      <c r="N876" s="213"/>
      <c r="O876" s="324" t="str">
        <f t="shared" si="268"/>
        <v/>
      </c>
      <c r="P876" s="324" t="str">
        <f t="shared" si="269"/>
        <v>13.4 Gips, Sand [0,8]</v>
      </c>
      <c r="Q876" s="324"/>
      <c r="R876" s="338">
        <f t="shared" si="270"/>
        <v>0.8</v>
      </c>
      <c r="S876" s="339" t="str">
        <f t="shared" si="271"/>
        <v>13.4 Gips, Sand</v>
      </c>
      <c r="T876" s="339"/>
      <c r="U876" s="339" t="str">
        <f t="shared" si="272"/>
        <v>[0,8]</v>
      </c>
    </row>
    <row r="877" spans="1:21" hidden="1">
      <c r="B877" s="37" t="s">
        <v>1305</v>
      </c>
      <c r="C877" s="37"/>
      <c r="D877" s="37">
        <v>1600</v>
      </c>
      <c r="E877" s="38">
        <v>0.8</v>
      </c>
      <c r="F877" s="37">
        <v>1000</v>
      </c>
      <c r="G877" s="37">
        <v>10</v>
      </c>
      <c r="H877" s="37">
        <v>6</v>
      </c>
      <c r="L877" s="213"/>
      <c r="M877" s="213"/>
      <c r="N877" s="213"/>
      <c r="O877" s="324" t="str">
        <f t="shared" si="268"/>
        <v/>
      </c>
      <c r="P877" s="324" t="str">
        <f t="shared" si="269"/>
        <v>13.5 Kalk, Sand [0,8]</v>
      </c>
      <c r="Q877" s="324"/>
      <c r="R877" s="338">
        <f t="shared" si="270"/>
        <v>0.8</v>
      </c>
      <c r="S877" s="339" t="str">
        <f t="shared" si="271"/>
        <v>13.5 Kalk, Sand</v>
      </c>
      <c r="T877" s="339"/>
      <c r="U877" s="339" t="str">
        <f t="shared" si="272"/>
        <v>[0,8]</v>
      </c>
    </row>
    <row r="878" spans="1:21" hidden="1">
      <c r="B878" s="37" t="s">
        <v>1306</v>
      </c>
      <c r="C878" s="37"/>
      <c r="D878" s="37">
        <v>1800</v>
      </c>
      <c r="E878" s="38">
        <v>1</v>
      </c>
      <c r="F878" s="37">
        <v>1000</v>
      </c>
      <c r="G878" s="37">
        <v>10</v>
      </c>
      <c r="H878" s="37">
        <v>6</v>
      </c>
      <c r="L878" s="213"/>
      <c r="M878" s="213"/>
      <c r="N878" s="213"/>
      <c r="O878" s="324" t="str">
        <f t="shared" si="268"/>
        <v/>
      </c>
      <c r="P878" s="324" t="str">
        <f t="shared" si="269"/>
        <v>13.6 Zement, Sand [1]</v>
      </c>
      <c r="Q878" s="324"/>
      <c r="R878" s="338">
        <f t="shared" si="270"/>
        <v>1</v>
      </c>
      <c r="S878" s="339" t="str">
        <f t="shared" si="271"/>
        <v>13.6 Zement, Sand</v>
      </c>
      <c r="T878" s="339"/>
      <c r="U878" s="339" t="str">
        <f t="shared" si="272"/>
        <v>[1]</v>
      </c>
    </row>
    <row r="879" spans="1:21" hidden="1">
      <c r="A879" s="38" t="s">
        <v>1217</v>
      </c>
      <c r="B879" s="37" t="s">
        <v>1307</v>
      </c>
      <c r="C879" s="37"/>
      <c r="D879" s="37" t="s">
        <v>1158</v>
      </c>
      <c r="E879" s="38">
        <v>1.5</v>
      </c>
      <c r="F879" s="37" t="s">
        <v>1159</v>
      </c>
      <c r="G879" s="37">
        <v>50</v>
      </c>
      <c r="H879" s="37">
        <v>50</v>
      </c>
      <c r="L879" s="213"/>
      <c r="M879" s="213"/>
      <c r="N879" s="213"/>
      <c r="O879" s="324" t="str">
        <f t="shared" si="268"/>
        <v>14 Erdreich</v>
      </c>
      <c r="P879" s="324" t="str">
        <f t="shared" si="269"/>
        <v>14.1 Ton, Schlick oder Schlamm [1,5]</v>
      </c>
      <c r="Q879" s="324"/>
      <c r="R879" s="338">
        <f t="shared" si="270"/>
        <v>1.5</v>
      </c>
      <c r="S879" s="339" t="str">
        <f t="shared" si="271"/>
        <v>14.1 Ton, Schlick oder Schlamm</v>
      </c>
      <c r="T879" s="339"/>
      <c r="U879" s="339" t="str">
        <f t="shared" si="272"/>
        <v>[1,5]</v>
      </c>
    </row>
    <row r="880" spans="1:21" hidden="1">
      <c r="B880" s="37" t="s">
        <v>1308</v>
      </c>
      <c r="C880" s="37"/>
      <c r="D880" s="37" t="s">
        <v>1160</v>
      </c>
      <c r="E880" s="38">
        <v>2</v>
      </c>
      <c r="F880" s="37" t="s">
        <v>1161</v>
      </c>
      <c r="G880" s="37">
        <v>50</v>
      </c>
      <c r="H880" s="37">
        <v>50</v>
      </c>
      <c r="L880" s="213"/>
      <c r="M880" s="213"/>
      <c r="N880" s="213"/>
      <c r="O880" s="324" t="str">
        <f t="shared" si="268"/>
        <v/>
      </c>
      <c r="P880" s="324" t="str">
        <f t="shared" si="269"/>
        <v>14.2 Sand und Kies [2]</v>
      </c>
      <c r="Q880" s="324"/>
      <c r="R880" s="338">
        <f t="shared" si="270"/>
        <v>2</v>
      </c>
      <c r="S880" s="339" t="str">
        <f t="shared" si="271"/>
        <v>14.2 Sand und Kies</v>
      </c>
      <c r="T880" s="339"/>
      <c r="U880" s="339" t="str">
        <f t="shared" si="272"/>
        <v>[2]</v>
      </c>
    </row>
    <row r="881" spans="1:21" hidden="1">
      <c r="A881" s="38" t="s">
        <v>1218</v>
      </c>
      <c r="B881" s="37" t="s">
        <v>1309</v>
      </c>
      <c r="C881" s="37"/>
      <c r="D881" s="37">
        <v>2800</v>
      </c>
      <c r="E881" s="38">
        <v>3.5</v>
      </c>
      <c r="F881" s="37">
        <v>1000</v>
      </c>
      <c r="G881" s="37">
        <v>10000</v>
      </c>
      <c r="H881" s="37">
        <v>10000</v>
      </c>
      <c r="L881" s="213"/>
      <c r="M881" s="213"/>
      <c r="N881" s="213"/>
      <c r="O881" s="324" t="str">
        <f t="shared" si="268"/>
        <v>15 Gestein</v>
      </c>
      <c r="P881" s="324" t="str">
        <f t="shared" si="269"/>
        <v>15.1 Kristalliner Naturstein [3,5]</v>
      </c>
      <c r="Q881" s="324"/>
      <c r="R881" s="338">
        <f t="shared" si="270"/>
        <v>3.5</v>
      </c>
      <c r="S881" s="339" t="str">
        <f t="shared" si="271"/>
        <v>15.1 Kristalliner Naturstein</v>
      </c>
      <c r="T881" s="339"/>
      <c r="U881" s="339" t="str">
        <f t="shared" si="272"/>
        <v>[3,5]</v>
      </c>
    </row>
    <row r="882" spans="1:21" hidden="1">
      <c r="B882" s="37" t="s">
        <v>1310</v>
      </c>
      <c r="C882" s="37"/>
      <c r="D882" s="37">
        <v>2600</v>
      </c>
      <c r="E882" s="38">
        <v>2.2999999999999998</v>
      </c>
      <c r="F882" s="37">
        <v>1000</v>
      </c>
      <c r="G882" s="37">
        <v>250</v>
      </c>
      <c r="H882" s="37">
        <v>200</v>
      </c>
      <c r="L882" s="213"/>
      <c r="M882" s="213"/>
      <c r="N882" s="213"/>
      <c r="O882" s="324" t="str">
        <f t="shared" ref="O882:O917" si="274">IF(A882&gt;0,A882,"")</f>
        <v/>
      </c>
      <c r="P882" s="324" t="str">
        <f t="shared" si="269"/>
        <v>15.2 Sediment-Naturstein [2,3]</v>
      </c>
      <c r="Q882" s="324"/>
      <c r="R882" s="338">
        <f t="shared" ref="R882:R917" si="275">E882</f>
        <v>2.2999999999999998</v>
      </c>
      <c r="S882" s="339" t="str">
        <f t="shared" ref="S882:S913" si="276">B882</f>
        <v>15.2 Sediment-Naturstein</v>
      </c>
      <c r="T882" s="339"/>
      <c r="U882" s="339" t="str">
        <f t="shared" ref="U882:U917" si="277">IF(E882&gt;0,"["&amp;E882&amp;"]","")</f>
        <v>[2,3]</v>
      </c>
    </row>
    <row r="883" spans="1:21" hidden="1">
      <c r="B883" s="37" t="s">
        <v>1311</v>
      </c>
      <c r="C883" s="37"/>
      <c r="D883" s="37">
        <v>1500</v>
      </c>
      <c r="E883" s="38">
        <v>0.85</v>
      </c>
      <c r="F883" s="37">
        <v>1000</v>
      </c>
      <c r="G883" s="37">
        <v>30</v>
      </c>
      <c r="H883" s="37">
        <v>20</v>
      </c>
      <c r="L883" s="213"/>
      <c r="M883" s="213"/>
      <c r="N883" s="213"/>
      <c r="O883" s="324" t="str">
        <f t="shared" si="274"/>
        <v/>
      </c>
      <c r="P883" s="324" t="str">
        <f t="shared" si="269"/>
        <v>15.3 leichter Sediment-Naturstein [0,85]</v>
      </c>
      <c r="Q883" s="324"/>
      <c r="R883" s="338">
        <f t="shared" si="275"/>
        <v>0.85</v>
      </c>
      <c r="S883" s="339" t="str">
        <f t="shared" si="276"/>
        <v>15.3 leichter Sediment-Naturstein</v>
      </c>
      <c r="T883" s="339"/>
      <c r="U883" s="339" t="str">
        <f t="shared" si="277"/>
        <v>[0,85]</v>
      </c>
    </row>
    <row r="884" spans="1:21" hidden="1">
      <c r="B884" s="37" t="s">
        <v>1312</v>
      </c>
      <c r="C884" s="37"/>
      <c r="D884" s="37">
        <v>1600</v>
      </c>
      <c r="E884" s="38">
        <v>0.55000000000000004</v>
      </c>
      <c r="F884" s="37">
        <v>1000</v>
      </c>
      <c r="G884" s="37">
        <v>20</v>
      </c>
      <c r="H884" s="37">
        <v>15</v>
      </c>
      <c r="L884" s="213"/>
      <c r="M884" s="213"/>
      <c r="N884" s="213"/>
      <c r="O884" s="324" t="str">
        <f t="shared" si="274"/>
        <v/>
      </c>
      <c r="P884" s="324" t="str">
        <f t="shared" si="269"/>
        <v>15.4 poröses Gestein, z. B. Lava [0,55]</v>
      </c>
      <c r="Q884" s="324"/>
      <c r="R884" s="338">
        <f t="shared" si="275"/>
        <v>0.55000000000000004</v>
      </c>
      <c r="S884" s="339" t="str">
        <f t="shared" si="276"/>
        <v>15.4 poröses Gestein, z. B. Lava</v>
      </c>
      <c r="T884" s="339"/>
      <c r="U884" s="339" t="str">
        <f t="shared" si="277"/>
        <v>[0,55]</v>
      </c>
    </row>
    <row r="885" spans="1:21" hidden="1">
      <c r="B885" s="37" t="s">
        <v>1313</v>
      </c>
      <c r="C885" s="37"/>
      <c r="D885" s="37" t="s">
        <v>1162</v>
      </c>
      <c r="E885" s="38">
        <v>3.5</v>
      </c>
      <c r="F885" s="37">
        <v>1000</v>
      </c>
      <c r="G885" s="37">
        <v>10000</v>
      </c>
      <c r="H885" s="37">
        <v>10000</v>
      </c>
      <c r="L885" s="213"/>
      <c r="M885" s="213"/>
      <c r="N885" s="213"/>
      <c r="O885" s="324" t="str">
        <f t="shared" si="274"/>
        <v/>
      </c>
      <c r="P885" s="324" t="str">
        <f t="shared" si="269"/>
        <v>15.5 Basalt [3,5]</v>
      </c>
      <c r="Q885" s="324"/>
      <c r="R885" s="338">
        <f t="shared" si="275"/>
        <v>3.5</v>
      </c>
      <c r="S885" s="339" t="str">
        <f t="shared" si="276"/>
        <v>15.5 Basalt</v>
      </c>
      <c r="T885" s="339"/>
      <c r="U885" s="339" t="str">
        <f t="shared" si="277"/>
        <v>[3,5]</v>
      </c>
    </row>
    <row r="886" spans="1:21" hidden="1">
      <c r="B886" s="37" t="s">
        <v>1314</v>
      </c>
      <c r="C886" s="37"/>
      <c r="D886" s="37" t="s">
        <v>1163</v>
      </c>
      <c r="E886" s="38">
        <v>3.5</v>
      </c>
      <c r="F886" s="37">
        <v>1000</v>
      </c>
      <c r="G886" s="37">
        <v>10000</v>
      </c>
      <c r="H886" s="37">
        <v>10000</v>
      </c>
      <c r="L886" s="213"/>
      <c r="M886" s="213"/>
      <c r="N886" s="213"/>
      <c r="O886" s="324" t="str">
        <f t="shared" si="274"/>
        <v/>
      </c>
      <c r="P886" s="324" t="str">
        <f t="shared" si="269"/>
        <v>15.6 Gneis [3,5]</v>
      </c>
      <c r="Q886" s="324"/>
      <c r="R886" s="338">
        <f t="shared" si="275"/>
        <v>3.5</v>
      </c>
      <c r="S886" s="339" t="str">
        <f t="shared" si="276"/>
        <v>15.6 Gneis</v>
      </c>
      <c r="T886" s="339"/>
      <c r="U886" s="339" t="str">
        <f t="shared" si="277"/>
        <v>[3,5]</v>
      </c>
    </row>
    <row r="887" spans="1:21" hidden="1">
      <c r="B887" s="37" t="s">
        <v>1315</v>
      </c>
      <c r="C887" s="37"/>
      <c r="D887" s="37" t="s">
        <v>1164</v>
      </c>
      <c r="E887" s="38">
        <v>2.8</v>
      </c>
      <c r="F887" s="37">
        <v>1000</v>
      </c>
      <c r="G887" s="37">
        <v>10000</v>
      </c>
      <c r="H887" s="37">
        <v>10000</v>
      </c>
      <c r="L887" s="213"/>
      <c r="M887" s="213"/>
      <c r="N887" s="213"/>
      <c r="O887" s="324" t="str">
        <f t="shared" si="274"/>
        <v/>
      </c>
      <c r="P887" s="324" t="str">
        <f t="shared" si="269"/>
        <v>15.7 Granit [2,8]</v>
      </c>
      <c r="Q887" s="324"/>
      <c r="R887" s="338">
        <f t="shared" si="275"/>
        <v>2.8</v>
      </c>
      <c r="S887" s="339" t="str">
        <f t="shared" si="276"/>
        <v>15.7 Granit</v>
      </c>
      <c r="T887" s="339"/>
      <c r="U887" s="339" t="str">
        <f t="shared" si="277"/>
        <v>[2,8]</v>
      </c>
    </row>
    <row r="888" spans="1:21" hidden="1">
      <c r="B888" s="37" t="s">
        <v>1316</v>
      </c>
      <c r="C888" s="37"/>
      <c r="D888" s="37">
        <v>2800</v>
      </c>
      <c r="E888" s="38">
        <v>3.5</v>
      </c>
      <c r="F888" s="37">
        <v>1000</v>
      </c>
      <c r="G888" s="37">
        <v>10000</v>
      </c>
      <c r="H888" s="37">
        <v>10000</v>
      </c>
      <c r="L888" s="213"/>
      <c r="M888" s="213"/>
      <c r="N888" s="213"/>
      <c r="O888" s="324" t="str">
        <f t="shared" si="274"/>
        <v/>
      </c>
      <c r="P888" s="324" t="str">
        <f t="shared" si="269"/>
        <v>15.8 Marmor [3,5]</v>
      </c>
      <c r="Q888" s="324"/>
      <c r="R888" s="338">
        <f t="shared" si="275"/>
        <v>3.5</v>
      </c>
      <c r="S888" s="339" t="str">
        <f t="shared" si="276"/>
        <v>15.8 Marmor</v>
      </c>
      <c r="T888" s="339"/>
      <c r="U888" s="339" t="str">
        <f t="shared" si="277"/>
        <v>[3,5]</v>
      </c>
    </row>
    <row r="889" spans="1:21" hidden="1">
      <c r="B889" s="37" t="s">
        <v>1317</v>
      </c>
      <c r="C889" s="37"/>
      <c r="D889" s="37" t="s">
        <v>1165</v>
      </c>
      <c r="E889" s="38">
        <v>2.2000000000000002</v>
      </c>
      <c r="F889" s="37">
        <v>1000</v>
      </c>
      <c r="G889" s="37">
        <v>1000</v>
      </c>
      <c r="H889" s="37">
        <v>800</v>
      </c>
      <c r="L889" s="213"/>
      <c r="M889" s="213"/>
      <c r="N889" s="213"/>
      <c r="O889" s="324" t="str">
        <f t="shared" si="274"/>
        <v/>
      </c>
      <c r="P889" s="324" t="str">
        <f t="shared" si="269"/>
        <v>15.9 Schiefer [2,2]</v>
      </c>
      <c r="Q889" s="324"/>
      <c r="R889" s="338">
        <f t="shared" si="275"/>
        <v>2.2000000000000002</v>
      </c>
      <c r="S889" s="339" t="str">
        <f t="shared" si="276"/>
        <v>15.9 Schiefer</v>
      </c>
      <c r="T889" s="339"/>
      <c r="U889" s="339" t="str">
        <f t="shared" si="277"/>
        <v>[2,2]</v>
      </c>
    </row>
    <row r="890" spans="1:21" hidden="1">
      <c r="B890" s="37" t="s">
        <v>1318</v>
      </c>
      <c r="C890" s="37"/>
      <c r="D890" s="37">
        <v>1600</v>
      </c>
      <c r="E890" s="38">
        <v>0.85</v>
      </c>
      <c r="F890" s="37">
        <v>1000</v>
      </c>
      <c r="G890" s="37">
        <v>30</v>
      </c>
      <c r="H890" s="37">
        <v>20</v>
      </c>
      <c r="L890" s="213"/>
      <c r="M890" s="213"/>
      <c r="N890" s="213"/>
      <c r="O890" s="324" t="str">
        <f t="shared" si="274"/>
        <v/>
      </c>
      <c r="P890" s="324" t="str">
        <f t="shared" si="269"/>
        <v>15.10 Kalkstein, extra weich [0,85]</v>
      </c>
      <c r="Q890" s="324"/>
      <c r="R890" s="338">
        <f t="shared" si="275"/>
        <v>0.85</v>
      </c>
      <c r="S890" s="339" t="str">
        <f t="shared" si="276"/>
        <v>15.10 Kalkstein, extra weich</v>
      </c>
      <c r="T890" s="339"/>
      <c r="U890" s="339" t="str">
        <f t="shared" si="277"/>
        <v>[0,85]</v>
      </c>
    </row>
    <row r="891" spans="1:21" hidden="1">
      <c r="B891" s="37" t="s">
        <v>1319</v>
      </c>
      <c r="C891" s="37"/>
      <c r="D891" s="37">
        <v>1800</v>
      </c>
      <c r="E891" s="38">
        <v>1.1000000000000001</v>
      </c>
      <c r="F891" s="37">
        <v>1000</v>
      </c>
      <c r="G891" s="37">
        <v>40</v>
      </c>
      <c r="H891" s="37">
        <v>25</v>
      </c>
      <c r="L891" s="213"/>
      <c r="M891" s="213"/>
      <c r="N891" s="213"/>
      <c r="O891" s="324" t="str">
        <f t="shared" si="274"/>
        <v/>
      </c>
      <c r="P891" s="324" t="str">
        <f t="shared" si="269"/>
        <v>15.11 Kalkstein, weich [1,1]</v>
      </c>
      <c r="Q891" s="324"/>
      <c r="R891" s="338">
        <f t="shared" si="275"/>
        <v>1.1000000000000001</v>
      </c>
      <c r="S891" s="339" t="str">
        <f t="shared" si="276"/>
        <v>15.11 Kalkstein, weich</v>
      </c>
      <c r="T891" s="339"/>
      <c r="U891" s="339" t="str">
        <f t="shared" si="277"/>
        <v>[1,1]</v>
      </c>
    </row>
    <row r="892" spans="1:21" hidden="1">
      <c r="B892" s="37" t="s">
        <v>1320</v>
      </c>
      <c r="C892" s="37"/>
      <c r="D892" s="37">
        <v>2000</v>
      </c>
      <c r="E892" s="38">
        <v>1.4</v>
      </c>
      <c r="F892" s="37">
        <v>1000</v>
      </c>
      <c r="G892" s="37">
        <v>50</v>
      </c>
      <c r="H892" s="37">
        <v>40</v>
      </c>
      <c r="L892" s="213"/>
      <c r="M892" s="213"/>
      <c r="N892" s="213"/>
      <c r="O892" s="324" t="str">
        <f t="shared" si="274"/>
        <v/>
      </c>
      <c r="P892" s="324" t="str">
        <f t="shared" si="269"/>
        <v>15.12 Kalkstein, mittelhart [1,4]</v>
      </c>
      <c r="Q892" s="324"/>
      <c r="R892" s="338">
        <f t="shared" si="275"/>
        <v>1.4</v>
      </c>
      <c r="S892" s="339" t="str">
        <f t="shared" si="276"/>
        <v>15.12 Kalkstein, mittelhart</v>
      </c>
      <c r="T892" s="339"/>
      <c r="U892" s="339" t="str">
        <f t="shared" si="277"/>
        <v>[1,4]</v>
      </c>
    </row>
    <row r="893" spans="1:21" hidden="1">
      <c r="B893" s="37" t="s">
        <v>1321</v>
      </c>
      <c r="C893" s="37"/>
      <c r="D893" s="37">
        <v>2200</v>
      </c>
      <c r="E893" s="38">
        <v>1.7</v>
      </c>
      <c r="F893" s="37">
        <v>1000</v>
      </c>
      <c r="G893" s="37">
        <v>200</v>
      </c>
      <c r="H893" s="37">
        <v>150</v>
      </c>
      <c r="L893" s="213"/>
      <c r="M893" s="213"/>
      <c r="N893" s="213"/>
      <c r="O893" s="324" t="str">
        <f t="shared" si="274"/>
        <v/>
      </c>
      <c r="P893" s="324" t="str">
        <f t="shared" si="269"/>
        <v>15.13 Kalkstein, hart [1,7]</v>
      </c>
      <c r="Q893" s="324"/>
      <c r="R893" s="338">
        <f t="shared" si="275"/>
        <v>1.7</v>
      </c>
      <c r="S893" s="339" t="str">
        <f t="shared" si="276"/>
        <v>15.13 Kalkstein, hart</v>
      </c>
      <c r="T893" s="339"/>
      <c r="U893" s="339" t="str">
        <f t="shared" si="277"/>
        <v>[1,7]</v>
      </c>
    </row>
    <row r="894" spans="1:21" hidden="1">
      <c r="B894" s="37" t="s">
        <v>1322</v>
      </c>
      <c r="C894" s="37"/>
      <c r="D894" s="37">
        <v>2600</v>
      </c>
      <c r="E894" s="38">
        <v>2.2999999999999998</v>
      </c>
      <c r="F894" s="37">
        <v>1000</v>
      </c>
      <c r="G894" s="37">
        <v>250</v>
      </c>
      <c r="H894" s="37">
        <v>200</v>
      </c>
      <c r="L894" s="213"/>
      <c r="M894" s="213"/>
      <c r="N894" s="213"/>
      <c r="O894" s="324" t="str">
        <f t="shared" si="274"/>
        <v/>
      </c>
      <c r="P894" s="324" t="str">
        <f t="shared" si="269"/>
        <v>15.14 Kalkstein, extra hart [2,3]</v>
      </c>
      <c r="Q894" s="324"/>
      <c r="R894" s="338">
        <f t="shared" si="275"/>
        <v>2.2999999999999998</v>
      </c>
      <c r="S894" s="339" t="str">
        <f t="shared" si="276"/>
        <v>15.14 Kalkstein, extra hart</v>
      </c>
      <c r="T894" s="339"/>
      <c r="U894" s="339" t="str">
        <f t="shared" si="277"/>
        <v>[2,3]</v>
      </c>
    </row>
    <row r="895" spans="1:21" hidden="1">
      <c r="B895" s="37" t="s">
        <v>1323</v>
      </c>
      <c r="C895" s="37"/>
      <c r="D895" s="37">
        <v>2600</v>
      </c>
      <c r="E895" s="38">
        <v>2.2999999999999998</v>
      </c>
      <c r="F895" s="37">
        <v>1000</v>
      </c>
      <c r="G895" s="37">
        <v>40</v>
      </c>
      <c r="H895" s="37">
        <v>30</v>
      </c>
      <c r="L895" s="213"/>
      <c r="M895" s="213"/>
      <c r="N895" s="213"/>
      <c r="O895" s="324" t="str">
        <f t="shared" si="274"/>
        <v/>
      </c>
      <c r="P895" s="324" t="str">
        <f t="shared" si="269"/>
        <v>15.15 Sandstein (Quarzit) [2,3]</v>
      </c>
      <c r="Q895" s="324"/>
      <c r="R895" s="338">
        <f t="shared" si="275"/>
        <v>2.2999999999999998</v>
      </c>
      <c r="S895" s="339" t="str">
        <f t="shared" si="276"/>
        <v>15.15 Sandstein (Quarzit)</v>
      </c>
      <c r="T895" s="339"/>
      <c r="U895" s="339" t="str">
        <f t="shared" si="277"/>
        <v>[2,3]</v>
      </c>
    </row>
    <row r="896" spans="1:21" hidden="1">
      <c r="B896" s="37" t="s">
        <v>1324</v>
      </c>
      <c r="C896" s="37"/>
      <c r="D896" s="37">
        <v>400</v>
      </c>
      <c r="E896" s="38">
        <v>0.12</v>
      </c>
      <c r="F896" s="37">
        <v>1000</v>
      </c>
      <c r="G896" s="37">
        <v>8</v>
      </c>
      <c r="H896" s="37">
        <v>6</v>
      </c>
      <c r="L896" s="213"/>
      <c r="M896" s="213"/>
      <c r="N896" s="213"/>
      <c r="O896" s="324" t="str">
        <f t="shared" si="274"/>
        <v/>
      </c>
      <c r="P896" s="324" t="str">
        <f t="shared" si="269"/>
        <v>15.16 Naturbims [0,12]</v>
      </c>
      <c r="Q896" s="324"/>
      <c r="R896" s="338">
        <f t="shared" si="275"/>
        <v>0.12</v>
      </c>
      <c r="S896" s="339" t="str">
        <f t="shared" si="276"/>
        <v>15.16 Naturbims</v>
      </c>
      <c r="T896" s="339"/>
      <c r="U896" s="339" t="str">
        <f t="shared" si="277"/>
        <v>[0,12]</v>
      </c>
    </row>
    <row r="897" spans="1:21" hidden="1">
      <c r="B897" s="37" t="s">
        <v>1325</v>
      </c>
      <c r="C897" s="37"/>
      <c r="D897" s="37">
        <v>1750</v>
      </c>
      <c r="E897" s="38">
        <v>1.3</v>
      </c>
      <c r="F897" s="37">
        <v>1000</v>
      </c>
      <c r="G897" s="37">
        <v>50</v>
      </c>
      <c r="H897" s="37">
        <v>40</v>
      </c>
      <c r="L897" s="213"/>
      <c r="M897" s="213"/>
      <c r="N897" s="213"/>
      <c r="O897" s="324" t="str">
        <f t="shared" si="274"/>
        <v/>
      </c>
      <c r="P897" s="324" t="str">
        <f t="shared" si="269"/>
        <v>15.17 Kunststein [1,3]</v>
      </c>
      <c r="Q897" s="324"/>
      <c r="R897" s="338">
        <f t="shared" si="275"/>
        <v>1.3</v>
      </c>
      <c r="S897" s="339" t="str">
        <f t="shared" si="276"/>
        <v>15.17 Kunststein</v>
      </c>
      <c r="T897" s="339"/>
      <c r="U897" s="339" t="str">
        <f t="shared" si="277"/>
        <v>[1,3]</v>
      </c>
    </row>
    <row r="898" spans="1:21" hidden="1">
      <c r="A898" s="38" t="s">
        <v>1219</v>
      </c>
      <c r="B898" s="37" t="s">
        <v>1326</v>
      </c>
      <c r="C898" s="37"/>
      <c r="D898" s="37">
        <v>2000</v>
      </c>
      <c r="E898" s="38">
        <v>1</v>
      </c>
      <c r="F898" s="37">
        <v>800</v>
      </c>
      <c r="G898" s="37">
        <v>40</v>
      </c>
      <c r="H898" s="37">
        <v>30</v>
      </c>
      <c r="L898" s="213"/>
      <c r="M898" s="213"/>
      <c r="N898" s="213"/>
      <c r="O898" s="324" t="str">
        <f t="shared" si="274"/>
        <v>16 Dachziegelsteine</v>
      </c>
      <c r="P898" s="324" t="str">
        <f t="shared" si="269"/>
        <v>16.1 Ton [1]</v>
      </c>
      <c r="Q898" s="324"/>
      <c r="R898" s="338">
        <f t="shared" si="275"/>
        <v>1</v>
      </c>
      <c r="S898" s="339" t="str">
        <f t="shared" si="276"/>
        <v>16.1 Ton</v>
      </c>
      <c r="T898" s="339"/>
      <c r="U898" s="339" t="str">
        <f t="shared" si="277"/>
        <v>[1]</v>
      </c>
    </row>
    <row r="899" spans="1:21" hidden="1">
      <c r="B899" s="37" t="s">
        <v>1327</v>
      </c>
      <c r="C899" s="37"/>
      <c r="D899" s="37">
        <v>2100</v>
      </c>
      <c r="E899" s="38">
        <v>1.5</v>
      </c>
      <c r="F899" s="37">
        <v>1000</v>
      </c>
      <c r="G899" s="37">
        <v>100</v>
      </c>
      <c r="H899" s="37">
        <v>60</v>
      </c>
      <c r="L899" s="213"/>
      <c r="M899" s="213"/>
      <c r="N899" s="213"/>
      <c r="O899" s="324" t="str">
        <f t="shared" si="274"/>
        <v/>
      </c>
      <c r="P899" s="324" t="str">
        <f t="shared" si="269"/>
        <v>16.2 Beton [1,5]</v>
      </c>
      <c r="Q899" s="324"/>
      <c r="R899" s="338">
        <f t="shared" si="275"/>
        <v>1.5</v>
      </c>
      <c r="S899" s="339" t="str">
        <f t="shared" si="276"/>
        <v>16.2 Beton</v>
      </c>
      <c r="T899" s="339"/>
      <c r="U899" s="339" t="str">
        <f t="shared" si="277"/>
        <v>[1,5]</v>
      </c>
    </row>
    <row r="900" spans="1:21" hidden="1">
      <c r="A900" s="38" t="s">
        <v>1220</v>
      </c>
      <c r="B900" s="37" t="s">
        <v>1328</v>
      </c>
      <c r="C900" s="37"/>
      <c r="D900" s="37">
        <v>2300</v>
      </c>
      <c r="E900" s="38">
        <v>1.3</v>
      </c>
      <c r="F900" s="37">
        <v>840</v>
      </c>
      <c r="G900" s="37" t="s">
        <v>1156</v>
      </c>
      <c r="L900" s="213"/>
      <c r="M900" s="213"/>
      <c r="N900" s="213"/>
      <c r="O900" s="324" t="str">
        <f t="shared" si="274"/>
        <v>17 Platten</v>
      </c>
      <c r="P900" s="324" t="str">
        <f t="shared" si="269"/>
        <v>17.1 Keramik/Porzellan [1,3]</v>
      </c>
      <c r="Q900" s="324"/>
      <c r="R900" s="338">
        <f t="shared" si="275"/>
        <v>1.3</v>
      </c>
      <c r="S900" s="339" t="str">
        <f t="shared" si="276"/>
        <v>17.1 Keramik/Porzellan</v>
      </c>
      <c r="T900" s="339"/>
      <c r="U900" s="339" t="str">
        <f t="shared" si="277"/>
        <v>[1,3]</v>
      </c>
    </row>
    <row r="901" spans="1:21" hidden="1">
      <c r="B901" s="37" t="s">
        <v>1329</v>
      </c>
      <c r="C901" s="37"/>
      <c r="D901" s="37">
        <v>1000</v>
      </c>
      <c r="E901" s="38">
        <v>0.2</v>
      </c>
      <c r="F901" s="37">
        <v>1000</v>
      </c>
      <c r="G901" s="37">
        <v>10000</v>
      </c>
      <c r="H901" s="37">
        <v>10000</v>
      </c>
      <c r="L901" s="213"/>
      <c r="M901" s="213"/>
      <c r="N901" s="213"/>
      <c r="O901" s="324" t="str">
        <f t="shared" si="274"/>
        <v/>
      </c>
      <c r="P901" s="324" t="str">
        <f t="shared" si="269"/>
        <v>17.2 Kunststoff [0,2]</v>
      </c>
      <c r="Q901" s="324"/>
      <c r="R901" s="338">
        <f t="shared" si="275"/>
        <v>0.2</v>
      </c>
      <c r="S901" s="339" t="str">
        <f t="shared" si="276"/>
        <v>17.2 Kunststoff</v>
      </c>
      <c r="T901" s="339"/>
      <c r="U901" s="339" t="str">
        <f t="shared" si="277"/>
        <v>[0,2]</v>
      </c>
    </row>
    <row r="902" spans="1:21" hidden="1">
      <c r="A902" s="38" t="s">
        <v>1221</v>
      </c>
      <c r="B902" s="213" t="s">
        <v>1330</v>
      </c>
      <c r="D902" s="37">
        <v>450</v>
      </c>
      <c r="E902" s="38">
        <v>0.12</v>
      </c>
      <c r="F902" s="37">
        <v>1600</v>
      </c>
      <c r="G902" s="37">
        <v>50</v>
      </c>
      <c r="H902" s="37">
        <v>20</v>
      </c>
      <c r="I902" s="213" t="s">
        <v>1086</v>
      </c>
      <c r="L902" s="213"/>
      <c r="M902" s="213"/>
      <c r="N902" s="213"/>
      <c r="O902" s="324" t="str">
        <f t="shared" si="274"/>
        <v>18 Nutzholz</v>
      </c>
      <c r="P902" s="324" t="str">
        <f t="shared" si="269"/>
        <v>18.1 Nutzholz - rho 450 [0,12]</v>
      </c>
      <c r="Q902" s="324"/>
      <c r="R902" s="338">
        <f t="shared" si="275"/>
        <v>0.12</v>
      </c>
      <c r="S902" s="339" t="str">
        <f t="shared" si="276"/>
        <v>18.1 Nutzholz</v>
      </c>
      <c r="T902" s="339" t="str">
        <f t="shared" ref="T902:T917" si="278" xml:space="preserve"> "- rho "&amp;D902</f>
        <v>- rho 450</v>
      </c>
      <c r="U902" s="339" t="str">
        <f t="shared" si="277"/>
        <v>[0,12]</v>
      </c>
    </row>
    <row r="903" spans="1:21" hidden="1">
      <c r="B903" s="213" t="s">
        <v>1331</v>
      </c>
      <c r="D903" s="37">
        <v>500</v>
      </c>
      <c r="E903" s="38">
        <v>0.13</v>
      </c>
      <c r="F903" s="37">
        <v>1600</v>
      </c>
      <c r="G903" s="37">
        <v>50</v>
      </c>
      <c r="H903" s="37">
        <v>20</v>
      </c>
      <c r="L903" s="213"/>
      <c r="M903" s="213"/>
      <c r="N903" s="213"/>
      <c r="O903" s="324" t="str">
        <f t="shared" si="274"/>
        <v/>
      </c>
      <c r="P903" s="324" t="str">
        <f t="shared" si="269"/>
        <v>18.2 Nutzholz - rho 500 [0,13]</v>
      </c>
      <c r="Q903" s="324"/>
      <c r="R903" s="338">
        <f t="shared" si="275"/>
        <v>0.13</v>
      </c>
      <c r="S903" s="339" t="str">
        <f t="shared" si="276"/>
        <v>18.2 Nutzholz</v>
      </c>
      <c r="T903" s="339" t="str">
        <f t="shared" si="278"/>
        <v>- rho 500</v>
      </c>
      <c r="U903" s="339" t="str">
        <f t="shared" si="277"/>
        <v>[0,13]</v>
      </c>
    </row>
    <row r="904" spans="1:21" hidden="1">
      <c r="B904" s="213" t="s">
        <v>1332</v>
      </c>
      <c r="D904" s="37">
        <v>700</v>
      </c>
      <c r="E904" s="38">
        <v>0.18</v>
      </c>
      <c r="F904" s="37">
        <v>1600</v>
      </c>
      <c r="G904" s="37">
        <v>200</v>
      </c>
      <c r="H904" s="37">
        <v>50</v>
      </c>
      <c r="L904" s="213"/>
      <c r="M904" s="213"/>
      <c r="N904" s="213"/>
      <c r="O904" s="324" t="str">
        <f t="shared" si="274"/>
        <v/>
      </c>
      <c r="P904" s="324" t="str">
        <f t="shared" si="269"/>
        <v>18.3 Nutzholz - rho 700 [0,18]</v>
      </c>
      <c r="Q904" s="324"/>
      <c r="R904" s="338">
        <f t="shared" si="275"/>
        <v>0.18</v>
      </c>
      <c r="S904" s="339" t="str">
        <f t="shared" si="276"/>
        <v>18.3 Nutzholz</v>
      </c>
      <c r="T904" s="339" t="str">
        <f t="shared" si="278"/>
        <v>- rho 700</v>
      </c>
      <c r="U904" s="339" t="str">
        <f t="shared" si="277"/>
        <v>[0,18]</v>
      </c>
    </row>
    <row r="905" spans="1:21" hidden="1">
      <c r="A905" s="38" t="s">
        <v>1222</v>
      </c>
      <c r="B905" s="37" t="s">
        <v>1333</v>
      </c>
      <c r="C905" s="37"/>
      <c r="D905" s="37">
        <v>300</v>
      </c>
      <c r="E905" s="38">
        <v>0.09</v>
      </c>
      <c r="F905" s="37">
        <v>1600</v>
      </c>
      <c r="G905" s="37">
        <v>150</v>
      </c>
      <c r="H905" s="37">
        <v>50</v>
      </c>
      <c r="I905" s="213" t="s">
        <v>1175</v>
      </c>
      <c r="L905" s="213"/>
      <c r="M905" s="213"/>
      <c r="N905" s="213"/>
      <c r="O905" s="324" t="str">
        <f t="shared" si="274"/>
        <v>19 Holzwerkstoffe</v>
      </c>
      <c r="P905" s="324" t="str">
        <f t="shared" si="269"/>
        <v>19.1 Sperrholz - rho 300 [0,09]</v>
      </c>
      <c r="Q905" s="324"/>
      <c r="R905" s="338">
        <f t="shared" si="275"/>
        <v>0.09</v>
      </c>
      <c r="S905" s="339" t="str">
        <f t="shared" si="276"/>
        <v>19.1 Sperrholz</v>
      </c>
      <c r="T905" s="339" t="str">
        <f t="shared" si="278"/>
        <v>- rho 300</v>
      </c>
      <c r="U905" s="339" t="str">
        <f t="shared" si="277"/>
        <v>[0,09]</v>
      </c>
    </row>
    <row r="906" spans="1:21" hidden="1">
      <c r="B906" s="37" t="s">
        <v>1334</v>
      </c>
      <c r="C906" s="37"/>
      <c r="D906" s="37">
        <v>500</v>
      </c>
      <c r="E906" s="38">
        <v>0.13</v>
      </c>
      <c r="F906" s="37">
        <v>1600</v>
      </c>
      <c r="G906" s="37">
        <v>200</v>
      </c>
      <c r="H906" s="37">
        <v>70</v>
      </c>
      <c r="L906" s="213"/>
      <c r="M906" s="213"/>
      <c r="N906" s="213"/>
      <c r="O906" s="324" t="str">
        <f t="shared" si="274"/>
        <v/>
      </c>
      <c r="P906" s="324" t="str">
        <f t="shared" si="269"/>
        <v>19.2 Sperrholz - rho 500 [0,13]</v>
      </c>
      <c r="Q906" s="324"/>
      <c r="R906" s="338">
        <f t="shared" si="275"/>
        <v>0.13</v>
      </c>
      <c r="S906" s="339" t="str">
        <f t="shared" si="276"/>
        <v>19.2 Sperrholz</v>
      </c>
      <c r="T906" s="339" t="str">
        <f t="shared" si="278"/>
        <v>- rho 500</v>
      </c>
      <c r="U906" s="339" t="str">
        <f t="shared" si="277"/>
        <v>[0,13]</v>
      </c>
    </row>
    <row r="907" spans="1:21" hidden="1">
      <c r="B907" s="37" t="s">
        <v>1335</v>
      </c>
      <c r="C907" s="37"/>
      <c r="D907" s="37">
        <v>700</v>
      </c>
      <c r="E907" s="38">
        <v>0.17</v>
      </c>
      <c r="F907" s="37">
        <v>1600</v>
      </c>
      <c r="G907" s="37">
        <v>220</v>
      </c>
      <c r="H907" s="37">
        <v>90</v>
      </c>
      <c r="L907" s="213"/>
      <c r="M907" s="213"/>
      <c r="N907" s="213"/>
      <c r="O907" s="324" t="str">
        <f t="shared" si="274"/>
        <v/>
      </c>
      <c r="P907" s="324" t="str">
        <f t="shared" si="269"/>
        <v>19.3 Sperrholz - rho 700 [0,17]</v>
      </c>
      <c r="Q907" s="324"/>
      <c r="R907" s="338">
        <f t="shared" si="275"/>
        <v>0.17</v>
      </c>
      <c r="S907" s="339" t="str">
        <f t="shared" si="276"/>
        <v>19.3 Sperrholz</v>
      </c>
      <c r="T907" s="339" t="str">
        <f t="shared" si="278"/>
        <v>- rho 700</v>
      </c>
      <c r="U907" s="339" t="str">
        <f t="shared" si="277"/>
        <v>[0,17]</v>
      </c>
    </row>
    <row r="908" spans="1:21" hidden="1">
      <c r="B908" s="37" t="s">
        <v>1336</v>
      </c>
      <c r="C908" s="37"/>
      <c r="D908" s="37">
        <v>1000</v>
      </c>
      <c r="E908" s="38">
        <v>0.24</v>
      </c>
      <c r="F908" s="37">
        <v>1600</v>
      </c>
      <c r="G908" s="37">
        <v>250</v>
      </c>
      <c r="H908" s="37">
        <v>110</v>
      </c>
      <c r="L908" s="213"/>
      <c r="M908" s="213"/>
      <c r="N908" s="213"/>
      <c r="O908" s="324" t="str">
        <f t="shared" si="274"/>
        <v/>
      </c>
      <c r="P908" s="324" t="str">
        <f t="shared" si="269"/>
        <v>19.4 Sperrholz - rho 1000 [0,24]</v>
      </c>
      <c r="Q908" s="324"/>
      <c r="R908" s="338">
        <f t="shared" si="275"/>
        <v>0.24</v>
      </c>
      <c r="S908" s="339" t="str">
        <f t="shared" si="276"/>
        <v>19.4 Sperrholz</v>
      </c>
      <c r="T908" s="339" t="str">
        <f t="shared" si="278"/>
        <v>- rho 1000</v>
      </c>
      <c r="U908" s="339" t="str">
        <f t="shared" si="277"/>
        <v>[0,24]</v>
      </c>
    </row>
    <row r="909" spans="1:21" hidden="1">
      <c r="B909" s="37" t="s">
        <v>1337</v>
      </c>
      <c r="C909" s="37"/>
      <c r="D909" s="37">
        <v>1200</v>
      </c>
      <c r="E909" s="38">
        <v>0.23</v>
      </c>
      <c r="F909" s="37">
        <v>1500</v>
      </c>
      <c r="G909" s="37">
        <v>50</v>
      </c>
      <c r="H909" s="37">
        <v>30</v>
      </c>
      <c r="L909" s="213"/>
      <c r="M909" s="213"/>
      <c r="N909" s="213"/>
      <c r="O909" s="324" t="str">
        <f t="shared" si="274"/>
        <v/>
      </c>
      <c r="P909" s="324" t="str">
        <f t="shared" si="269"/>
        <v>19.5 zementgebundene Spanplatten - rho 1200 [0,23]</v>
      </c>
      <c r="Q909" s="324"/>
      <c r="R909" s="338">
        <f t="shared" si="275"/>
        <v>0.23</v>
      </c>
      <c r="S909" s="339" t="str">
        <f t="shared" si="276"/>
        <v>19.5 zementgebundene Spanplatten</v>
      </c>
      <c r="T909" s="339" t="str">
        <f t="shared" si="278"/>
        <v>- rho 1200</v>
      </c>
      <c r="U909" s="339" t="str">
        <f t="shared" si="277"/>
        <v>[0,23]</v>
      </c>
    </row>
    <row r="910" spans="1:21" hidden="1">
      <c r="B910" s="37" t="s">
        <v>1338</v>
      </c>
      <c r="C910" s="37"/>
      <c r="D910" s="37">
        <v>300</v>
      </c>
      <c r="E910" s="38">
        <v>0.1</v>
      </c>
      <c r="F910" s="37">
        <v>1700</v>
      </c>
      <c r="G910" s="37">
        <v>50</v>
      </c>
      <c r="H910" s="37">
        <v>10</v>
      </c>
      <c r="L910" s="213"/>
      <c r="M910" s="213"/>
      <c r="N910" s="213"/>
      <c r="O910" s="324" t="str">
        <f t="shared" si="274"/>
        <v/>
      </c>
      <c r="P910" s="324" t="str">
        <f t="shared" si="269"/>
        <v>19.6 Spanplatten - rho 300 [0,1]</v>
      </c>
      <c r="Q910" s="324"/>
      <c r="R910" s="338">
        <f t="shared" si="275"/>
        <v>0.1</v>
      </c>
      <c r="S910" s="339" t="str">
        <f t="shared" si="276"/>
        <v>19.6 Spanplatten</v>
      </c>
      <c r="T910" s="339" t="str">
        <f t="shared" si="278"/>
        <v>- rho 300</v>
      </c>
      <c r="U910" s="339" t="str">
        <f t="shared" si="277"/>
        <v>[0,1]</v>
      </c>
    </row>
    <row r="911" spans="1:21" hidden="1">
      <c r="B911" s="37" t="s">
        <v>1339</v>
      </c>
      <c r="C911" s="37"/>
      <c r="D911" s="37">
        <v>600</v>
      </c>
      <c r="E911" s="38">
        <v>0.14000000000000001</v>
      </c>
      <c r="F911" s="37">
        <v>1700</v>
      </c>
      <c r="G911" s="37">
        <v>50</v>
      </c>
      <c r="H911" s="37">
        <v>15</v>
      </c>
      <c r="L911" s="213"/>
      <c r="M911" s="213"/>
      <c r="N911" s="213"/>
      <c r="O911" s="324" t="str">
        <f t="shared" si="274"/>
        <v/>
      </c>
      <c r="P911" s="324" t="str">
        <f t="shared" si="269"/>
        <v>19.7 Spanplatten - rho 600 [0,14]</v>
      </c>
      <c r="Q911" s="324"/>
      <c r="R911" s="338">
        <f t="shared" si="275"/>
        <v>0.14000000000000001</v>
      </c>
      <c r="S911" s="339" t="str">
        <f t="shared" si="276"/>
        <v>19.7 Spanplatten</v>
      </c>
      <c r="T911" s="339" t="str">
        <f t="shared" si="278"/>
        <v>- rho 600</v>
      </c>
      <c r="U911" s="339" t="str">
        <f t="shared" si="277"/>
        <v>[0,14]</v>
      </c>
    </row>
    <row r="912" spans="1:21" hidden="1">
      <c r="B912" s="37" t="s">
        <v>1340</v>
      </c>
      <c r="C912" s="37"/>
      <c r="D912" s="37">
        <v>900</v>
      </c>
      <c r="E912" s="38">
        <v>0.18</v>
      </c>
      <c r="F912" s="37">
        <v>1700</v>
      </c>
      <c r="G912" s="37">
        <v>50</v>
      </c>
      <c r="H912" s="37">
        <v>20</v>
      </c>
      <c r="L912" s="213"/>
      <c r="M912" s="213"/>
      <c r="N912" s="213"/>
      <c r="O912" s="324" t="str">
        <f t="shared" si="274"/>
        <v/>
      </c>
      <c r="P912" s="324" t="str">
        <f t="shared" si="269"/>
        <v>19.8 Spanplatten - rho 900 [0,18]</v>
      </c>
      <c r="Q912" s="324"/>
      <c r="R912" s="338">
        <f t="shared" si="275"/>
        <v>0.18</v>
      </c>
      <c r="S912" s="339" t="str">
        <f t="shared" si="276"/>
        <v>19.8 Spanplatten</v>
      </c>
      <c r="T912" s="339" t="str">
        <f t="shared" si="278"/>
        <v>- rho 900</v>
      </c>
      <c r="U912" s="339" t="str">
        <f t="shared" si="277"/>
        <v>[0,18]</v>
      </c>
    </row>
    <row r="913" spans="1:22" hidden="1">
      <c r="B913" s="37" t="s">
        <v>1341</v>
      </c>
      <c r="C913" s="37"/>
      <c r="D913" s="37">
        <v>650</v>
      </c>
      <c r="E913" s="38">
        <v>0.13</v>
      </c>
      <c r="F913" s="37">
        <v>1700</v>
      </c>
      <c r="G913" s="37">
        <v>50</v>
      </c>
      <c r="H913" s="37">
        <v>30</v>
      </c>
      <c r="L913" s="213"/>
      <c r="M913" s="213"/>
      <c r="N913" s="213"/>
      <c r="O913" s="324" t="str">
        <f t="shared" si="274"/>
        <v/>
      </c>
      <c r="P913" s="324" t="str">
        <f t="shared" si="269"/>
        <v>19.9 OSB-Platten - rho 650 [0,13]</v>
      </c>
      <c r="Q913" s="324"/>
      <c r="R913" s="338">
        <f t="shared" si="275"/>
        <v>0.13</v>
      </c>
      <c r="S913" s="339" t="str">
        <f t="shared" si="276"/>
        <v>19.9 OSB-Platten</v>
      </c>
      <c r="T913" s="339" t="str">
        <f t="shared" si="278"/>
        <v>- rho 650</v>
      </c>
      <c r="U913" s="339" t="str">
        <f t="shared" si="277"/>
        <v>[0,13]</v>
      </c>
    </row>
    <row r="914" spans="1:22" hidden="1">
      <c r="B914" s="37" t="s">
        <v>1342</v>
      </c>
      <c r="C914" s="37"/>
      <c r="D914" s="37">
        <v>250</v>
      </c>
      <c r="E914" s="38">
        <v>7.0000000000000007E-2</v>
      </c>
      <c r="F914" s="37">
        <v>1700</v>
      </c>
      <c r="G914" s="37">
        <v>5</v>
      </c>
      <c r="H914" s="37">
        <v>3</v>
      </c>
      <c r="I914" s="213" t="s">
        <v>1176</v>
      </c>
      <c r="L914" s="213"/>
      <c r="M914" s="213"/>
      <c r="N914" s="213"/>
      <c r="O914" s="324" t="str">
        <f t="shared" si="274"/>
        <v/>
      </c>
      <c r="P914" s="324" t="str">
        <f>S914&amp;IF(T914&lt;&gt;""," "&amp;T914,"")&amp;IF(U914&lt;&gt;""," "&amp;U914,"")&amp;IF(V914&lt;&gt;""," "&amp;V914,"")</f>
        <v>19.10 Holzfaserplatten - rho 250 [0,07] (einschließlich MDF)</v>
      </c>
      <c r="Q914" s="324"/>
      <c r="R914" s="338">
        <f t="shared" si="275"/>
        <v>7.0000000000000007E-2</v>
      </c>
      <c r="S914" s="328" t="s">
        <v>1712</v>
      </c>
      <c r="T914" s="339" t="str">
        <f t="shared" si="278"/>
        <v>- rho 250</v>
      </c>
      <c r="U914" s="339" t="str">
        <f t="shared" si="277"/>
        <v>[0,07]</v>
      </c>
      <c r="V914" s="328" t="s">
        <v>1713</v>
      </c>
    </row>
    <row r="915" spans="1:22" hidden="1">
      <c r="B915" s="37" t="s">
        <v>1343</v>
      </c>
      <c r="C915" s="37"/>
      <c r="D915" s="37">
        <v>400</v>
      </c>
      <c r="E915" s="38">
        <v>0.1</v>
      </c>
      <c r="F915" s="37">
        <v>1700</v>
      </c>
      <c r="G915" s="37">
        <v>10</v>
      </c>
      <c r="H915" s="37">
        <v>5</v>
      </c>
      <c r="L915" s="213"/>
      <c r="M915" s="213"/>
      <c r="N915" s="213"/>
      <c r="O915" s="324" t="str">
        <f t="shared" si="274"/>
        <v/>
      </c>
      <c r="P915" s="324" t="str">
        <f>S915&amp;IF(T915&lt;&gt;""," "&amp;T915,"")&amp;IF(U915&lt;&gt;""," "&amp;U915,"")&amp;IF(V915&lt;&gt;""," "&amp;V915,"")</f>
        <v>19.11 Holzfaserplatten - rho 400 [0,1] (einschließlich MDF)</v>
      </c>
      <c r="Q915" s="324"/>
      <c r="R915" s="338">
        <f t="shared" si="275"/>
        <v>0.1</v>
      </c>
      <c r="S915" s="328" t="s">
        <v>1714</v>
      </c>
      <c r="T915" s="339" t="str">
        <f t="shared" si="278"/>
        <v>- rho 400</v>
      </c>
      <c r="U915" s="339" t="str">
        <f t="shared" si="277"/>
        <v>[0,1]</v>
      </c>
      <c r="V915" s="328" t="s">
        <v>1713</v>
      </c>
    </row>
    <row r="916" spans="1:22" hidden="1">
      <c r="B916" s="37" t="s">
        <v>1344</v>
      </c>
      <c r="C916" s="37"/>
      <c r="D916" s="37">
        <v>600</v>
      </c>
      <c r="E916" s="38">
        <v>0.14000000000000001</v>
      </c>
      <c r="F916" s="37">
        <v>1700</v>
      </c>
      <c r="G916" s="37">
        <v>20</v>
      </c>
      <c r="H916" s="37">
        <v>12</v>
      </c>
      <c r="L916" s="213"/>
      <c r="M916" s="213"/>
      <c r="N916" s="213"/>
      <c r="O916" s="324" t="str">
        <f t="shared" si="274"/>
        <v/>
      </c>
      <c r="P916" s="324" t="str">
        <f>S916&amp;IF(T916&lt;&gt;""," "&amp;T916,"")&amp;IF(U916&lt;&gt;""," "&amp;U916,"")&amp;IF(V916&lt;&gt;""," "&amp;V916,"")</f>
        <v>19.12 Holzfaserplatten - rho 600 [0,14] (einschließlich MDF)</v>
      </c>
      <c r="Q916" s="324"/>
      <c r="R916" s="338">
        <f t="shared" si="275"/>
        <v>0.14000000000000001</v>
      </c>
      <c r="S916" s="328" t="s">
        <v>1715</v>
      </c>
      <c r="T916" s="339" t="str">
        <f t="shared" si="278"/>
        <v>- rho 600</v>
      </c>
      <c r="U916" s="339" t="str">
        <f t="shared" si="277"/>
        <v>[0,14]</v>
      </c>
      <c r="V916" s="328" t="s">
        <v>1713</v>
      </c>
    </row>
    <row r="917" spans="1:22" hidden="1">
      <c r="B917" s="37" t="s">
        <v>1345</v>
      </c>
      <c r="C917" s="37"/>
      <c r="D917" s="37">
        <v>800</v>
      </c>
      <c r="E917" s="38">
        <v>0.18</v>
      </c>
      <c r="F917" s="37">
        <v>1700</v>
      </c>
      <c r="G917" s="37">
        <v>30</v>
      </c>
      <c r="H917" s="37">
        <v>20</v>
      </c>
      <c r="L917" s="213"/>
      <c r="M917" s="213"/>
      <c r="N917" s="213"/>
      <c r="O917" s="324" t="str">
        <f t="shared" si="274"/>
        <v/>
      </c>
      <c r="P917" s="324" t="str">
        <f>S917&amp;IF(T917&lt;&gt;""," "&amp;T917,"")&amp;IF(U917&lt;&gt;""," "&amp;U917,"")&amp;IF(V917&lt;&gt;""," "&amp;V917,"")</f>
        <v>19.13 Holzfaserplatten - rho 800 [0,18] (einschließlich MDF)</v>
      </c>
      <c r="Q917" s="324"/>
      <c r="R917" s="338">
        <f t="shared" si="275"/>
        <v>0.18</v>
      </c>
      <c r="S917" s="328" t="s">
        <v>1716</v>
      </c>
      <c r="T917" s="339" t="str">
        <f t="shared" si="278"/>
        <v>- rho 800</v>
      </c>
      <c r="U917" s="339" t="str">
        <f t="shared" si="277"/>
        <v>[0,18]</v>
      </c>
      <c r="V917" s="328" t="s">
        <v>1713</v>
      </c>
    </row>
    <row r="918" spans="1:22" hidden="1">
      <c r="A918" s="213" t="s">
        <v>1177</v>
      </c>
      <c r="O918" s="324" t="s">
        <v>987</v>
      </c>
    </row>
    <row r="919" spans="1:22" hidden="1">
      <c r="A919" s="213" t="s">
        <v>1178</v>
      </c>
    </row>
    <row r="920" spans="1:22" hidden="1">
      <c r="A920" s="213" t="s">
        <v>1179</v>
      </c>
    </row>
    <row r="921" spans="1:22" hidden="1">
      <c r="A921" s="213" t="s">
        <v>1180</v>
      </c>
    </row>
    <row r="922" spans="1:22" hidden="1">
      <c r="A922" s="213" t="s">
        <v>1181</v>
      </c>
    </row>
    <row r="923" spans="1:22" hidden="1">
      <c r="A923" s="213" t="s">
        <v>1182</v>
      </c>
    </row>
    <row r="924" spans="1:22" hidden="1">
      <c r="A924" s="213" t="s">
        <v>1483</v>
      </c>
    </row>
    <row r="925" spans="1:22" hidden="1">
      <c r="A925" s="213" t="s">
        <v>1484</v>
      </c>
    </row>
    <row r="927" spans="1:22" ht="13.8">
      <c r="A927" s="65" t="s">
        <v>1485</v>
      </c>
      <c r="B927" s="66"/>
      <c r="C927" s="66"/>
      <c r="D927" s="66"/>
      <c r="E927" s="66"/>
      <c r="F927" s="66"/>
      <c r="G927" s="165"/>
      <c r="H927" s="66"/>
      <c r="I927" s="66"/>
      <c r="J927" s="1"/>
      <c r="K927" s="122">
        <f>ROW(A928)</f>
        <v>928</v>
      </c>
      <c r="L927" s="122">
        <f>ROW(A938)</f>
        <v>938</v>
      </c>
      <c r="M927" s="122"/>
      <c r="N927" s="122"/>
    </row>
    <row r="928" spans="1:22" hidden="1">
      <c r="A928" s="261" t="s">
        <v>1652</v>
      </c>
      <c r="B928" s="262"/>
      <c r="C928" s="261" t="s">
        <v>1651</v>
      </c>
      <c r="D928" s="263"/>
      <c r="E928" s="264"/>
      <c r="F928" s="263"/>
      <c r="G928" s="263"/>
      <c r="H928" s="262"/>
    </row>
    <row r="929" spans="1:14" hidden="1">
      <c r="A929" s="224" t="s">
        <v>1653</v>
      </c>
      <c r="B929" s="226"/>
      <c r="C929" s="224" t="s">
        <v>1654</v>
      </c>
      <c r="D929" s="265"/>
      <c r="E929" s="224" t="s">
        <v>13</v>
      </c>
      <c r="F929" s="265"/>
      <c r="G929" s="224" t="s">
        <v>1655</v>
      </c>
      <c r="H929" s="226"/>
    </row>
    <row r="930" spans="1:14" ht="13.2" hidden="1">
      <c r="A930" s="214" t="s">
        <v>1657</v>
      </c>
      <c r="C930" s="266">
        <v>0.1</v>
      </c>
      <c r="D930" s="266"/>
      <c r="E930" s="266">
        <v>0.13</v>
      </c>
      <c r="F930" s="266"/>
      <c r="G930" s="266">
        <v>0.17</v>
      </c>
      <c r="H930" s="266"/>
    </row>
    <row r="931" spans="1:14" ht="13.2" hidden="1">
      <c r="A931" s="214" t="s">
        <v>1658</v>
      </c>
      <c r="C931" s="266">
        <v>0.04</v>
      </c>
      <c r="D931" s="266"/>
      <c r="E931" s="266">
        <v>0.04</v>
      </c>
      <c r="F931" s="266"/>
      <c r="G931" s="266">
        <v>0.04</v>
      </c>
      <c r="H931" s="266"/>
    </row>
    <row r="932" spans="1:14" hidden="1"/>
    <row r="933" spans="1:14" hidden="1">
      <c r="A933" s="213" t="s">
        <v>1645</v>
      </c>
    </row>
    <row r="934" spans="1:14" hidden="1">
      <c r="A934" s="213" t="s">
        <v>1646</v>
      </c>
    </row>
    <row r="935" spans="1:14" hidden="1">
      <c r="A935" s="213" t="s">
        <v>1647</v>
      </c>
    </row>
    <row r="936" spans="1:14" hidden="1">
      <c r="A936" s="213" t="s">
        <v>1648</v>
      </c>
    </row>
    <row r="937" spans="1:14" hidden="1">
      <c r="A937" s="213" t="s">
        <v>1649</v>
      </c>
    </row>
    <row r="938" spans="1:14" hidden="1">
      <c r="A938" s="213" t="s">
        <v>1650</v>
      </c>
    </row>
    <row r="940" spans="1:14" ht="13.8">
      <c r="A940" s="65" t="s">
        <v>1662</v>
      </c>
      <c r="B940" s="66"/>
      <c r="C940" s="66"/>
      <c r="D940" s="66"/>
      <c r="E940" s="66"/>
      <c r="F940" s="66"/>
      <c r="G940" s="165"/>
      <c r="H940" s="66"/>
      <c r="I940" s="66"/>
      <c r="J940" s="1"/>
      <c r="K940" s="122">
        <f>ROW(A941)</f>
        <v>941</v>
      </c>
      <c r="L940" s="122">
        <f>ROW(A954)</f>
        <v>954</v>
      </c>
      <c r="M940" s="122"/>
      <c r="N940" s="122"/>
    </row>
    <row r="941" spans="1:14" ht="12" hidden="1" customHeight="1">
      <c r="A941" s="261" t="s">
        <v>1675</v>
      </c>
      <c r="B941" s="270" t="s">
        <v>1660</v>
      </c>
      <c r="C941" s="263"/>
      <c r="D941" s="263"/>
      <c r="E941" s="267"/>
    </row>
    <row r="942" spans="1:14" ht="12" hidden="1" customHeight="1">
      <c r="A942" s="267" t="s">
        <v>1674</v>
      </c>
      <c r="B942" s="267" t="s">
        <v>1651</v>
      </c>
      <c r="E942" s="267"/>
    </row>
    <row r="943" spans="1:14" ht="12" hidden="1" customHeight="1">
      <c r="A943" s="267"/>
      <c r="B943" s="267" t="s">
        <v>1654</v>
      </c>
      <c r="C943" s="267" t="s">
        <v>13</v>
      </c>
      <c r="D943" s="267" t="s">
        <v>1655</v>
      </c>
      <c r="E943" s="267"/>
    </row>
    <row r="944" spans="1:14" ht="12" hidden="1" customHeight="1">
      <c r="A944" s="224" t="s">
        <v>807</v>
      </c>
      <c r="B944" s="224" t="s">
        <v>1653</v>
      </c>
      <c r="C944" s="224" t="s">
        <v>1653</v>
      </c>
      <c r="D944" s="224" t="s">
        <v>1653</v>
      </c>
      <c r="E944" s="267"/>
    </row>
    <row r="945" spans="1:13" ht="12" hidden="1" customHeight="1">
      <c r="A945" s="213">
        <v>0</v>
      </c>
      <c r="B945" s="213">
        <v>0</v>
      </c>
      <c r="C945" s="213">
        <v>0</v>
      </c>
      <c r="D945" s="213">
        <v>0</v>
      </c>
    </row>
    <row r="946" spans="1:13" ht="12" hidden="1" customHeight="1">
      <c r="A946" s="213">
        <v>5</v>
      </c>
      <c r="B946" s="213">
        <v>0.11</v>
      </c>
      <c r="C946" s="213">
        <v>0.11</v>
      </c>
      <c r="D946" s="213">
        <v>0.11</v>
      </c>
    </row>
    <row r="947" spans="1:13" ht="12" hidden="1" customHeight="1">
      <c r="A947" s="213">
        <v>7</v>
      </c>
      <c r="B947" s="213">
        <v>0.13</v>
      </c>
      <c r="C947" s="213">
        <v>0.13</v>
      </c>
      <c r="D947" s="213">
        <v>0.13</v>
      </c>
    </row>
    <row r="948" spans="1:13" ht="12" hidden="1" customHeight="1">
      <c r="A948" s="213">
        <v>10</v>
      </c>
      <c r="B948" s="213">
        <v>0.15</v>
      </c>
      <c r="C948" s="213">
        <v>0.15</v>
      </c>
      <c r="D948" s="213">
        <v>0.15</v>
      </c>
    </row>
    <row r="949" spans="1:13" ht="12" hidden="1" customHeight="1">
      <c r="A949" s="213">
        <v>15</v>
      </c>
      <c r="B949" s="213">
        <v>0.16</v>
      </c>
      <c r="C949" s="213">
        <v>0.17</v>
      </c>
      <c r="D949" s="213">
        <v>0.17</v>
      </c>
    </row>
    <row r="950" spans="1:13" ht="12" hidden="1" customHeight="1">
      <c r="A950" s="213">
        <v>25</v>
      </c>
      <c r="B950" s="213">
        <v>0.16</v>
      </c>
      <c r="C950" s="213">
        <v>0.18</v>
      </c>
      <c r="D950" s="213">
        <v>0.19</v>
      </c>
    </row>
    <row r="951" spans="1:13" ht="12" hidden="1" customHeight="1">
      <c r="A951" s="213">
        <v>50</v>
      </c>
      <c r="B951" s="213">
        <v>0.16</v>
      </c>
      <c r="C951" s="213">
        <v>0.18</v>
      </c>
      <c r="D951" s="213">
        <v>0.21</v>
      </c>
    </row>
    <row r="952" spans="1:13" ht="12" hidden="1" customHeight="1">
      <c r="A952" s="213">
        <v>100</v>
      </c>
      <c r="B952" s="213">
        <v>0.16</v>
      </c>
      <c r="C952" s="213">
        <v>0.18</v>
      </c>
      <c r="D952" s="213">
        <v>0.22</v>
      </c>
    </row>
    <row r="953" spans="1:13" ht="12" hidden="1" customHeight="1">
      <c r="A953" s="213">
        <v>300</v>
      </c>
      <c r="B953" s="213">
        <v>0.16</v>
      </c>
      <c r="C953" s="213">
        <v>0.18</v>
      </c>
      <c r="D953" s="213">
        <v>0.23</v>
      </c>
    </row>
    <row r="954" spans="1:13" ht="12" hidden="1" customHeight="1">
      <c r="A954" s="213" t="s">
        <v>1661</v>
      </c>
      <c r="E954" s="213"/>
    </row>
    <row r="955" spans="1:13">
      <c r="A955" s="756" t="s">
        <v>825</v>
      </c>
    </row>
    <row r="956" spans="1:13" ht="13.8">
      <c r="A956" s="65" t="s">
        <v>2554</v>
      </c>
      <c r="B956" s="66"/>
      <c r="C956" s="66"/>
      <c r="D956" s="66"/>
      <c r="E956" s="66"/>
      <c r="F956" s="66"/>
      <c r="G956" s="165"/>
      <c r="H956" s="66"/>
      <c r="I956" s="66"/>
      <c r="J956" s="1"/>
      <c r="K956" s="122">
        <f>ROW(A957)</f>
        <v>957</v>
      </c>
      <c r="L956" s="122">
        <f>ROW(A990)</f>
        <v>990</v>
      </c>
      <c r="M956" s="122"/>
    </row>
    <row r="957" spans="1:13" hidden="1">
      <c r="A957" s="521" t="s">
        <v>1747</v>
      </c>
      <c r="B957" s="765">
        <v>1</v>
      </c>
      <c r="C957" s="265"/>
      <c r="D957" s="265"/>
      <c r="E957" s="400"/>
      <c r="F957" s="765">
        <v>2</v>
      </c>
      <c r="G957" s="765">
        <v>3</v>
      </c>
      <c r="H957" s="265"/>
      <c r="I957" s="265"/>
      <c r="J957" s="265"/>
      <c r="K957" s="265"/>
      <c r="L957" s="766"/>
    </row>
    <row r="958" spans="1:13" ht="14.4" hidden="1">
      <c r="A958" s="399" t="s">
        <v>2232</v>
      </c>
      <c r="B958" s="465" t="s">
        <v>2555</v>
      </c>
      <c r="C958" s="400"/>
      <c r="D958" s="400"/>
      <c r="E958" s="227"/>
      <c r="F958" s="759" t="s">
        <v>2592</v>
      </c>
      <c r="G958" s="465" t="s">
        <v>2593</v>
      </c>
      <c r="H958" s="400"/>
      <c r="I958" s="265"/>
      <c r="J958" s="265"/>
      <c r="K958" s="265"/>
      <c r="L958" s="760"/>
    </row>
    <row r="959" spans="1:13" ht="15" hidden="1">
      <c r="A959" s="755">
        <v>1</v>
      </c>
      <c r="B959" s="213" t="s">
        <v>2556</v>
      </c>
      <c r="F959" s="213" t="s">
        <v>2566</v>
      </c>
      <c r="G959" s="754">
        <v>1</v>
      </c>
    </row>
    <row r="960" spans="1:13" ht="15" hidden="1">
      <c r="A960" s="755">
        <v>2</v>
      </c>
      <c r="B960" s="213" t="s">
        <v>2557</v>
      </c>
      <c r="F960" s="213" t="s">
        <v>2567</v>
      </c>
      <c r="G960" s="754">
        <v>1</v>
      </c>
    </row>
    <row r="961" spans="1:12" ht="15" hidden="1">
      <c r="A961" s="755">
        <v>3</v>
      </c>
      <c r="B961" s="213" t="s">
        <v>2558</v>
      </c>
      <c r="F961" s="213" t="s">
        <v>2567</v>
      </c>
      <c r="G961" s="754">
        <v>0.8</v>
      </c>
    </row>
    <row r="962" spans="1:12" ht="15" hidden="1">
      <c r="A962" s="755">
        <v>4</v>
      </c>
      <c r="B962" s="213" t="s">
        <v>2559</v>
      </c>
      <c r="F962" s="213" t="s">
        <v>2568</v>
      </c>
      <c r="G962" s="754">
        <v>0.8</v>
      </c>
    </row>
    <row r="963" spans="1:12" ht="15" hidden="1">
      <c r="A963" s="755">
        <v>5</v>
      </c>
      <c r="B963" s="213" t="s">
        <v>2560</v>
      </c>
      <c r="F963" s="213" t="s">
        <v>2568</v>
      </c>
      <c r="G963" s="754">
        <v>0.5</v>
      </c>
    </row>
    <row r="964" spans="1:12" ht="15" hidden="1">
      <c r="A964" s="755">
        <v>6</v>
      </c>
      <c r="B964" s="213" t="s">
        <v>2561</v>
      </c>
      <c r="F964" s="213" t="s">
        <v>2569</v>
      </c>
      <c r="G964" s="754">
        <v>0.35</v>
      </c>
    </row>
    <row r="965" spans="1:12" hidden="1">
      <c r="A965" s="755"/>
      <c r="B965" s="213" t="s">
        <v>2562</v>
      </c>
    </row>
    <row r="966" spans="1:12" ht="15" hidden="1">
      <c r="A966" s="755">
        <v>7</v>
      </c>
      <c r="B966" s="441" t="s">
        <v>2563</v>
      </c>
      <c r="F966" s="213" t="s">
        <v>2568</v>
      </c>
      <c r="G966" s="754">
        <v>0.8</v>
      </c>
    </row>
    <row r="967" spans="1:12" ht="15" hidden="1">
      <c r="A967" s="755">
        <v>8</v>
      </c>
      <c r="B967" s="441" t="s">
        <v>2564</v>
      </c>
      <c r="F967" s="213" t="s">
        <v>2568</v>
      </c>
      <c r="G967" s="754">
        <v>0.7</v>
      </c>
    </row>
    <row r="968" spans="1:12" ht="15" hidden="1">
      <c r="A968" s="755">
        <v>9</v>
      </c>
      <c r="B968" s="441" t="s">
        <v>2565</v>
      </c>
      <c r="F968" s="213" t="s">
        <v>2568</v>
      </c>
      <c r="G968" s="754">
        <v>0.5</v>
      </c>
    </row>
    <row r="969" spans="1:12" ht="13.8" hidden="1">
      <c r="A969" s="755"/>
      <c r="B969" s="214" t="s">
        <v>2570</v>
      </c>
      <c r="F969" s="762" t="s">
        <v>2576</v>
      </c>
      <c r="G969" s="1348" t="s">
        <v>2577</v>
      </c>
      <c r="H969" s="1348"/>
      <c r="I969" s="1348" t="s">
        <v>2578</v>
      </c>
      <c r="J969" s="1348"/>
      <c r="K969" s="1348" t="s">
        <v>2579</v>
      </c>
      <c r="L969" s="1348"/>
    </row>
    <row r="970" spans="1:12" ht="14.4" hidden="1">
      <c r="A970" s="755"/>
      <c r="B970" s="213" t="s">
        <v>2571</v>
      </c>
      <c r="F970" s="762" t="s">
        <v>2582</v>
      </c>
      <c r="G970" s="763" t="s">
        <v>2580</v>
      </c>
      <c r="H970" s="764" t="s">
        <v>2581</v>
      </c>
      <c r="I970" s="763" t="s">
        <v>2580</v>
      </c>
      <c r="J970" s="764" t="s">
        <v>2581</v>
      </c>
      <c r="K970" s="763" t="s">
        <v>2580</v>
      </c>
      <c r="L970" s="764" t="s">
        <v>2581</v>
      </c>
    </row>
    <row r="971" spans="1:12" ht="15" hidden="1">
      <c r="A971" s="755">
        <v>10</v>
      </c>
      <c r="B971" s="441" t="s">
        <v>2572</v>
      </c>
      <c r="F971" s="213" t="s">
        <v>2574</v>
      </c>
      <c r="G971" s="757">
        <v>0.3</v>
      </c>
      <c r="H971" s="757">
        <v>0.45</v>
      </c>
      <c r="I971" s="757">
        <v>0.25</v>
      </c>
      <c r="J971" s="757">
        <v>0.4</v>
      </c>
      <c r="K971" s="757">
        <v>0.2</v>
      </c>
      <c r="L971" s="757">
        <v>0.35</v>
      </c>
    </row>
    <row r="972" spans="1:12" ht="15" hidden="1">
      <c r="A972" s="755">
        <v>11</v>
      </c>
      <c r="B972" s="441" t="s">
        <v>2573</v>
      </c>
      <c r="F972" s="213" t="s">
        <v>2575</v>
      </c>
      <c r="G972" s="757">
        <v>0.4</v>
      </c>
      <c r="H972" s="757">
        <v>0.6</v>
      </c>
      <c r="I972" s="758">
        <v>0.4</v>
      </c>
      <c r="J972" s="758">
        <v>0.6</v>
      </c>
      <c r="K972" s="758">
        <v>0.4</v>
      </c>
      <c r="L972" s="758">
        <v>0.6</v>
      </c>
    </row>
    <row r="973" spans="1:12" ht="13.8" hidden="1">
      <c r="A973" s="755"/>
      <c r="B973" s="213" t="s">
        <v>2583</v>
      </c>
      <c r="C973" s="756"/>
    </row>
    <row r="974" spans="1:12" ht="15" hidden="1">
      <c r="A974" s="755">
        <v>12</v>
      </c>
      <c r="B974" s="441" t="s">
        <v>2584</v>
      </c>
      <c r="C974" s="756"/>
      <c r="F974" s="213" t="s">
        <v>2574</v>
      </c>
      <c r="G974" s="757">
        <v>0.45</v>
      </c>
      <c r="H974" s="757">
        <v>0.6</v>
      </c>
      <c r="I974" s="757">
        <v>0.4</v>
      </c>
      <c r="J974" s="757">
        <v>0.5</v>
      </c>
      <c r="K974" s="757">
        <v>0.25</v>
      </c>
      <c r="L974" s="757">
        <v>0.35</v>
      </c>
    </row>
    <row r="975" spans="1:12" ht="15" hidden="1">
      <c r="A975" s="755">
        <v>13</v>
      </c>
      <c r="B975" s="441" t="s">
        <v>2590</v>
      </c>
      <c r="C975" s="756"/>
      <c r="F975" s="213" t="s">
        <v>2574</v>
      </c>
      <c r="G975" s="757">
        <v>0.3</v>
      </c>
      <c r="H975" s="758">
        <v>0.3</v>
      </c>
      <c r="I975" s="757">
        <v>0.25</v>
      </c>
      <c r="J975" s="758">
        <v>0.25</v>
      </c>
      <c r="K975" s="757">
        <v>0.2</v>
      </c>
      <c r="L975" s="758">
        <v>0.2</v>
      </c>
    </row>
    <row r="976" spans="1:12" ht="15" hidden="1">
      <c r="A976" s="755">
        <v>14</v>
      </c>
      <c r="B976" s="441" t="s">
        <v>2591</v>
      </c>
      <c r="C976" s="756"/>
      <c r="F976" s="213" t="s">
        <v>2574</v>
      </c>
      <c r="G976" s="757">
        <v>0.25</v>
      </c>
      <c r="H976" s="758">
        <v>0.25</v>
      </c>
      <c r="I976" s="757">
        <v>0.2</v>
      </c>
      <c r="J976" s="758">
        <v>0.2</v>
      </c>
      <c r="K976" s="757">
        <v>0.15</v>
      </c>
      <c r="L976" s="758">
        <v>0.15</v>
      </c>
    </row>
    <row r="977" spans="1:14" hidden="1">
      <c r="A977" s="755"/>
      <c r="B977" s="213" t="s">
        <v>2585</v>
      </c>
      <c r="C977" s="756"/>
      <c r="G977" s="757"/>
      <c r="H977" s="757"/>
      <c r="I977" s="757"/>
      <c r="J977" s="757"/>
      <c r="K977" s="757"/>
      <c r="L977" s="757"/>
    </row>
    <row r="978" spans="1:14" ht="15" hidden="1">
      <c r="A978" s="755">
        <v>15</v>
      </c>
      <c r="B978" s="441" t="s">
        <v>2586</v>
      </c>
      <c r="C978" s="756"/>
      <c r="F978" s="213" t="s">
        <v>2588</v>
      </c>
      <c r="G978" s="757">
        <v>0.55000000000000004</v>
      </c>
      <c r="H978" s="758">
        <v>0.55000000000000004</v>
      </c>
      <c r="I978" s="757">
        <v>0.5</v>
      </c>
      <c r="J978" s="758">
        <v>0.5</v>
      </c>
      <c r="K978" s="757">
        <v>0.45</v>
      </c>
      <c r="L978" s="758">
        <v>0.45</v>
      </c>
    </row>
    <row r="979" spans="1:14" ht="15" hidden="1">
      <c r="A979" s="755">
        <v>16</v>
      </c>
      <c r="B979" s="441" t="s">
        <v>2587</v>
      </c>
      <c r="C979" s="756"/>
      <c r="F979" s="213" t="s">
        <v>2588</v>
      </c>
      <c r="G979" s="757">
        <v>0.7</v>
      </c>
      <c r="H979" s="758">
        <v>0.7</v>
      </c>
      <c r="I979" s="757">
        <v>0.65</v>
      </c>
      <c r="J979" s="758">
        <v>0.65</v>
      </c>
      <c r="K979" s="757">
        <v>0.55000000000000004</v>
      </c>
      <c r="L979" s="758">
        <v>0.55000000000000004</v>
      </c>
    </row>
    <row r="980" spans="1:14" ht="15" hidden="1">
      <c r="A980" s="755">
        <v>17</v>
      </c>
      <c r="B980" s="213" t="s">
        <v>43</v>
      </c>
      <c r="C980" s="756"/>
      <c r="F980" s="213" t="s">
        <v>2588</v>
      </c>
      <c r="G980" s="757">
        <v>0.9</v>
      </c>
      <c r="H980" s="758">
        <v>0.9</v>
      </c>
      <c r="I980" s="758">
        <v>0.9</v>
      </c>
      <c r="J980" s="758">
        <v>0.9</v>
      </c>
      <c r="K980" s="758">
        <v>0.9</v>
      </c>
      <c r="L980" s="758">
        <v>0.9</v>
      </c>
    </row>
    <row r="981" spans="1:14" ht="15" hidden="1">
      <c r="A981" s="755">
        <v>18</v>
      </c>
      <c r="B981" s="213" t="s">
        <v>2589</v>
      </c>
      <c r="C981" s="756"/>
      <c r="F981" s="213" t="s">
        <v>2588</v>
      </c>
      <c r="G981" s="757">
        <v>0.2</v>
      </c>
      <c r="H981" s="757">
        <v>0.55000000000000004</v>
      </c>
      <c r="I981" s="757">
        <v>0.15</v>
      </c>
      <c r="J981" s="757">
        <v>0.5</v>
      </c>
      <c r="K981" s="757">
        <v>0.1</v>
      </c>
      <c r="L981" s="757">
        <v>0.35</v>
      </c>
    </row>
    <row r="982" spans="1:14" ht="15" hidden="1">
      <c r="A982" s="761" t="s">
        <v>2594</v>
      </c>
      <c r="B982" s="213" t="s">
        <v>2596</v>
      </c>
      <c r="C982" s="756"/>
      <c r="G982" s="757"/>
      <c r="H982" s="757"/>
      <c r="I982" s="757"/>
      <c r="J982" s="757"/>
      <c r="K982" s="757"/>
      <c r="L982" s="757"/>
    </row>
    <row r="983" spans="1:14" ht="15" hidden="1">
      <c r="A983" s="761" t="s">
        <v>2608</v>
      </c>
      <c r="B983" s="213" t="s">
        <v>2595</v>
      </c>
      <c r="C983" s="756"/>
      <c r="G983" s="757"/>
      <c r="H983" s="757"/>
      <c r="I983" s="757"/>
      <c r="J983" s="757"/>
      <c r="K983" s="757"/>
      <c r="L983" s="757"/>
    </row>
    <row r="984" spans="1:14" ht="15" hidden="1">
      <c r="A984" s="761"/>
      <c r="B984" s="755" t="s">
        <v>2597</v>
      </c>
      <c r="C984" s="756"/>
      <c r="G984" s="757"/>
      <c r="H984" s="757"/>
      <c r="I984" s="757"/>
      <c r="J984" s="757"/>
      <c r="K984" s="757"/>
      <c r="L984" s="757"/>
    </row>
    <row r="985" spans="1:14" ht="15" hidden="1">
      <c r="A985" s="761"/>
      <c r="B985" s="755" t="s">
        <v>2598</v>
      </c>
      <c r="C985" s="756"/>
      <c r="G985" s="757"/>
      <c r="H985" s="757"/>
      <c r="I985" s="757"/>
      <c r="J985" s="757"/>
      <c r="K985" s="757"/>
      <c r="L985" s="757"/>
    </row>
    <row r="986" spans="1:14" ht="13.8" hidden="1">
      <c r="A986" s="761" t="s">
        <v>2607</v>
      </c>
      <c r="B986" s="213" t="s">
        <v>2599</v>
      </c>
      <c r="C986" s="756"/>
      <c r="G986" s="757"/>
      <c r="H986" s="757"/>
      <c r="I986" s="757"/>
      <c r="J986" s="757"/>
      <c r="K986" s="757"/>
      <c r="L986" s="757"/>
    </row>
    <row r="987" spans="1:14" ht="13.8" hidden="1">
      <c r="A987" s="761" t="s">
        <v>2605</v>
      </c>
      <c r="B987" s="213" t="s">
        <v>2600</v>
      </c>
      <c r="C987" s="756"/>
      <c r="G987" s="757"/>
      <c r="H987" s="757"/>
      <c r="I987" s="757"/>
      <c r="J987" s="757"/>
      <c r="K987" s="757"/>
      <c r="L987" s="757"/>
    </row>
    <row r="988" spans="1:14" ht="13.8" hidden="1">
      <c r="A988" s="761"/>
      <c r="B988" s="755" t="s">
        <v>2601</v>
      </c>
      <c r="C988" s="756"/>
      <c r="G988" s="757"/>
      <c r="H988" s="757"/>
      <c r="I988" s="757"/>
      <c r="J988" s="757"/>
      <c r="K988" s="757"/>
      <c r="L988" s="757"/>
    </row>
    <row r="989" spans="1:14" ht="13.8" hidden="1">
      <c r="A989" s="761" t="s">
        <v>2606</v>
      </c>
      <c r="B989" s="213" t="s">
        <v>2602</v>
      </c>
      <c r="C989" s="756"/>
      <c r="G989" s="757"/>
      <c r="H989" s="757"/>
      <c r="I989" s="757"/>
      <c r="J989" s="757"/>
      <c r="K989" s="757"/>
      <c r="L989" s="757"/>
    </row>
    <row r="990" spans="1:14" ht="13.8" hidden="1">
      <c r="A990" s="761" t="s">
        <v>2604</v>
      </c>
      <c r="B990" s="213" t="s">
        <v>2603</v>
      </c>
      <c r="C990" s="756"/>
      <c r="G990" s="757"/>
      <c r="H990" s="757"/>
      <c r="I990" s="757"/>
      <c r="J990" s="757"/>
      <c r="K990" s="757"/>
      <c r="L990" s="757"/>
    </row>
    <row r="992" spans="1:14" ht="13.8">
      <c r="A992" s="65" t="s">
        <v>1966</v>
      </c>
      <c r="B992" s="66"/>
      <c r="C992" s="66"/>
      <c r="D992" s="66"/>
      <c r="E992" s="66"/>
      <c r="F992" s="66"/>
      <c r="G992" s="165"/>
      <c r="H992" s="66"/>
      <c r="I992" s="66"/>
      <c r="J992" s="1"/>
      <c r="K992" s="122">
        <f>ROW(A993)</f>
        <v>993</v>
      </c>
      <c r="L992" s="122">
        <f>ROW(A1195)</f>
        <v>1195</v>
      </c>
      <c r="M992" s="122"/>
      <c r="N992" s="122"/>
    </row>
    <row r="993" spans="1:21" ht="14.4" hidden="1">
      <c r="A993" s="179" t="s">
        <v>1486</v>
      </c>
      <c r="B993" t="s">
        <v>1487</v>
      </c>
      <c r="C993"/>
      <c r="D993"/>
      <c r="E993"/>
      <c r="F993"/>
      <c r="G993"/>
      <c r="H993"/>
      <c r="I993"/>
      <c r="J993"/>
      <c r="K993"/>
      <c r="L993"/>
      <c r="M993"/>
      <c r="N993"/>
    </row>
    <row r="994" spans="1:21" ht="14.4" hidden="1">
      <c r="A994" s="230"/>
      <c r="B994" s="1325" t="s">
        <v>1488</v>
      </c>
      <c r="C994" s="1327"/>
      <c r="D994" s="1327"/>
      <c r="E994" s="1327"/>
      <c r="F994" s="1326"/>
      <c r="G994"/>
      <c r="H994"/>
      <c r="I994"/>
      <c r="J994"/>
      <c r="K994"/>
      <c r="L994"/>
      <c r="M994"/>
      <c r="N994"/>
    </row>
    <row r="995" spans="1:21" ht="14.4" hidden="1">
      <c r="A995" s="231"/>
      <c r="B995" s="1301" t="s">
        <v>208</v>
      </c>
      <c r="C995" s="1303"/>
      <c r="D995" s="1303"/>
      <c r="E995" s="1303"/>
      <c r="F995" s="1302"/>
      <c r="G995"/>
      <c r="H995"/>
      <c r="I995"/>
      <c r="J995"/>
      <c r="K995"/>
      <c r="L995"/>
      <c r="M995"/>
      <c r="N995"/>
    </row>
    <row r="996" spans="1:21" ht="14.4" hidden="1">
      <c r="A996" s="231"/>
      <c r="B996" s="1325" t="s">
        <v>1489</v>
      </c>
      <c r="C996" s="1327"/>
      <c r="D996" s="1326"/>
      <c r="E996" s="1325" t="s">
        <v>1490</v>
      </c>
      <c r="F996" s="1326"/>
      <c r="G996"/>
      <c r="H996"/>
      <c r="I996"/>
      <c r="J996"/>
      <c r="K996"/>
      <c r="L996"/>
      <c r="M996"/>
      <c r="N996"/>
    </row>
    <row r="997" spans="1:21" ht="15.6" hidden="1">
      <c r="A997" s="232"/>
      <c r="B997" s="1301" t="s">
        <v>1491</v>
      </c>
      <c r="C997" s="1303"/>
      <c r="D997" s="1302"/>
      <c r="E997" s="1322" t="s">
        <v>1492</v>
      </c>
      <c r="F997" s="1323"/>
      <c r="G997"/>
      <c r="H997"/>
      <c r="I997"/>
      <c r="J997"/>
      <c r="K997"/>
      <c r="L997"/>
      <c r="M997"/>
      <c r="N997"/>
    </row>
    <row r="998" spans="1:21" ht="14.4" hidden="1">
      <c r="A998" s="233" t="s">
        <v>1493</v>
      </c>
      <c r="B998" s="1304">
        <v>0</v>
      </c>
      <c r="C998" s="1306"/>
      <c r="D998" s="1305"/>
      <c r="E998" s="1304">
        <v>0</v>
      </c>
      <c r="F998" s="1305"/>
      <c r="G998"/>
      <c r="H998"/>
      <c r="I998"/>
      <c r="J998"/>
      <c r="K998"/>
      <c r="L998"/>
      <c r="M998"/>
      <c r="N998"/>
      <c r="O998" s="323"/>
    </row>
    <row r="999" spans="1:21" ht="14.4" hidden="1">
      <c r="A999"/>
      <c r="B999"/>
      <c r="C999"/>
      <c r="D999"/>
      <c r="E999"/>
      <c r="F999"/>
      <c r="G999"/>
      <c r="H999"/>
      <c r="I999"/>
      <c r="J999"/>
      <c r="K999"/>
      <c r="L999"/>
      <c r="M999"/>
      <c r="N999"/>
      <c r="O999" s="323"/>
    </row>
    <row r="1000" spans="1:21" ht="15.6" hidden="1">
      <c r="A1000" s="179" t="s">
        <v>1494</v>
      </c>
      <c r="B1000" t="s">
        <v>1495</v>
      </c>
      <c r="C1000"/>
      <c r="D1000"/>
      <c r="E1000"/>
      <c r="F1000"/>
      <c r="G1000"/>
      <c r="H1000"/>
      <c r="I1000"/>
      <c r="J1000"/>
      <c r="K1000"/>
      <c r="L1000"/>
      <c r="M1000"/>
      <c r="N1000"/>
      <c r="O1000" s="323"/>
      <c r="Q1000" s="326"/>
      <c r="R1000" s="341"/>
      <c r="S1000" s="341"/>
      <c r="U1000" s="341"/>
    </row>
    <row r="1001" spans="1:21" ht="15.6" hidden="1">
      <c r="A1001" s="234" t="s">
        <v>1496</v>
      </c>
      <c r="B1001" s="1304" t="s">
        <v>1497</v>
      </c>
      <c r="C1001" s="1306"/>
      <c r="D1001" s="1306"/>
      <c r="E1001" s="1306"/>
      <c r="F1001" s="1306"/>
      <c r="G1001" s="1306"/>
      <c r="H1001" s="1306"/>
      <c r="I1001" s="1305"/>
      <c r="J1001"/>
      <c r="K1001"/>
      <c r="L1001"/>
      <c r="M1001"/>
      <c r="N1001"/>
      <c r="O1001" s="323"/>
      <c r="Q1001" s="326"/>
      <c r="R1001" s="341"/>
      <c r="S1001" s="341"/>
      <c r="U1001" s="341"/>
    </row>
    <row r="1002" spans="1:21" ht="14.4" hidden="1">
      <c r="A1002" s="235" t="s">
        <v>1498</v>
      </c>
      <c r="B1002" s="1304" t="s">
        <v>1499</v>
      </c>
      <c r="C1002" s="1306"/>
      <c r="D1002" s="1306"/>
      <c r="E1002" s="1305"/>
      <c r="F1002" s="1304" t="s">
        <v>1500</v>
      </c>
      <c r="G1002" s="1306"/>
      <c r="H1002" s="1306"/>
      <c r="I1002" s="1305"/>
      <c r="J1002"/>
      <c r="K1002"/>
      <c r="L1002"/>
      <c r="M1002"/>
      <c r="N1002"/>
      <c r="O1002" s="323"/>
      <c r="Q1002" s="326"/>
      <c r="R1002" s="341"/>
      <c r="S1002" s="341"/>
      <c r="U1002" s="341"/>
    </row>
    <row r="1003" spans="1:21" ht="14.4" hidden="1">
      <c r="A1003" s="231"/>
      <c r="B1003" s="1325" t="s">
        <v>1501</v>
      </c>
      <c r="C1003" s="1326"/>
      <c r="D1003" s="1325" t="s">
        <v>1502</v>
      </c>
      <c r="E1003" s="1326"/>
      <c r="F1003" s="1325" t="s">
        <v>1501</v>
      </c>
      <c r="G1003" s="1326"/>
      <c r="H1003" s="1325" t="s">
        <v>1502</v>
      </c>
      <c r="I1003" s="1326"/>
      <c r="J1003"/>
      <c r="K1003"/>
      <c r="L1003"/>
      <c r="M1003"/>
      <c r="N1003"/>
      <c r="O1003" s="323"/>
      <c r="Q1003" s="326"/>
      <c r="R1003" s="341"/>
      <c r="S1003" s="341"/>
      <c r="U1003" s="341"/>
    </row>
    <row r="1004" spans="1:21" ht="16.2" hidden="1">
      <c r="A1004" s="231"/>
      <c r="B1004" s="1301" t="s">
        <v>1503</v>
      </c>
      <c r="C1004" s="1302"/>
      <c r="D1004" s="1301" t="s">
        <v>1504</v>
      </c>
      <c r="E1004" s="1302"/>
      <c r="F1004" s="1301" t="s">
        <v>1503</v>
      </c>
      <c r="G1004" s="1302"/>
      <c r="H1004" s="1301" t="s">
        <v>1504</v>
      </c>
      <c r="I1004" s="1302"/>
      <c r="J1004"/>
      <c r="K1004"/>
      <c r="L1004"/>
      <c r="M1004"/>
      <c r="N1004"/>
      <c r="O1004" s="323"/>
      <c r="Q1004" s="326"/>
      <c r="R1004" s="341"/>
      <c r="S1004" s="341"/>
      <c r="U1004" s="341"/>
    </row>
    <row r="1005" spans="1:21" ht="14.4" hidden="1">
      <c r="A1005" s="231"/>
      <c r="B1005" s="234" t="s">
        <v>1505</v>
      </c>
      <c r="C1005" s="234" t="s">
        <v>1506</v>
      </c>
      <c r="D1005" s="234" t="s">
        <v>1505</v>
      </c>
      <c r="E1005" s="234" t="s">
        <v>1506</v>
      </c>
      <c r="F1005" s="234" t="s">
        <v>1505</v>
      </c>
      <c r="G1005" s="234" t="s">
        <v>1506</v>
      </c>
      <c r="H1005" s="234" t="s">
        <v>1505</v>
      </c>
      <c r="I1005" s="234" t="s">
        <v>1506</v>
      </c>
      <c r="K1005"/>
      <c r="L1005"/>
      <c r="M1005"/>
      <c r="N1005"/>
      <c r="O1005" s="323"/>
    </row>
    <row r="1006" spans="1:21" ht="14.4" hidden="1">
      <c r="A1006" s="231"/>
      <c r="B1006" s="235" t="s">
        <v>1507</v>
      </c>
      <c r="C1006" s="235" t="s">
        <v>1508</v>
      </c>
      <c r="D1006" s="235" t="s">
        <v>1507</v>
      </c>
      <c r="E1006" s="235" t="s">
        <v>1508</v>
      </c>
      <c r="F1006" s="235" t="s">
        <v>1507</v>
      </c>
      <c r="G1006" s="235" t="s">
        <v>1508</v>
      </c>
      <c r="H1006" s="235" t="s">
        <v>1507</v>
      </c>
      <c r="I1006" s="235" t="s">
        <v>1508</v>
      </c>
      <c r="K1006"/>
      <c r="L1006"/>
      <c r="M1006"/>
      <c r="N1006"/>
      <c r="O1006" s="323"/>
    </row>
    <row r="1007" spans="1:21" ht="15.6" hidden="1">
      <c r="A1007" s="236"/>
      <c r="B1007" s="237" t="s">
        <v>1509</v>
      </c>
      <c r="C1007" s="237" t="s">
        <v>1510</v>
      </c>
      <c r="D1007" s="237" t="s">
        <v>1509</v>
      </c>
      <c r="E1007" s="237" t="s">
        <v>1510</v>
      </c>
      <c r="F1007" s="237" t="s">
        <v>1509</v>
      </c>
      <c r="G1007" s="237" t="s">
        <v>1510</v>
      </c>
      <c r="H1007" s="237" t="s">
        <v>1509</v>
      </c>
      <c r="I1007" s="237" t="s">
        <v>1510</v>
      </c>
      <c r="K1007"/>
      <c r="L1007"/>
      <c r="M1007"/>
      <c r="N1007"/>
      <c r="O1007" s="323"/>
    </row>
    <row r="1008" spans="1:21" ht="14.4" hidden="1">
      <c r="A1008" s="234">
        <v>100</v>
      </c>
      <c r="B1008" s="235">
        <v>14.6</v>
      </c>
      <c r="C1008" s="235">
        <v>1.7</v>
      </c>
      <c r="D1008" s="235">
        <v>12.1</v>
      </c>
      <c r="E1008" s="235">
        <v>5.4</v>
      </c>
      <c r="F1008" s="235">
        <v>6.7</v>
      </c>
      <c r="G1008" s="235">
        <v>1</v>
      </c>
      <c r="H1008" s="235">
        <v>5.0999999999999996</v>
      </c>
      <c r="I1008" s="235">
        <v>2.2999999999999998</v>
      </c>
      <c r="K1008"/>
      <c r="L1008"/>
      <c r="M1008"/>
      <c r="N1008"/>
      <c r="O1008" s="323"/>
    </row>
    <row r="1009" spans="1:15" ht="14.4" hidden="1">
      <c r="A1009" s="235">
        <v>150</v>
      </c>
      <c r="B1009" s="235">
        <v>11.6</v>
      </c>
      <c r="C1009" s="235">
        <v>1.7</v>
      </c>
      <c r="D1009" s="235">
        <v>9.8000000000000007</v>
      </c>
      <c r="E1009" s="235">
        <v>4.4000000000000004</v>
      </c>
      <c r="F1009" s="235">
        <v>5.4</v>
      </c>
      <c r="G1009" s="235">
        <v>1</v>
      </c>
      <c r="H1009" s="235">
        <v>4.2</v>
      </c>
      <c r="I1009" s="235">
        <v>1.9</v>
      </c>
      <c r="K1009"/>
      <c r="L1009"/>
      <c r="M1009"/>
      <c r="N1009"/>
      <c r="O1009" s="323"/>
    </row>
    <row r="1010" spans="1:15" ht="14.4" hidden="1">
      <c r="A1010" s="235">
        <v>200</v>
      </c>
      <c r="B1010" s="235">
        <v>10.1</v>
      </c>
      <c r="C1010" s="235">
        <v>1.8</v>
      </c>
      <c r="D1010" s="235">
        <v>8.6999999999999993</v>
      </c>
      <c r="E1010" s="235">
        <v>3.9</v>
      </c>
      <c r="F1010" s="235">
        <v>4.7</v>
      </c>
      <c r="G1010" s="235">
        <v>1</v>
      </c>
      <c r="H1010" s="235">
        <v>3.8</v>
      </c>
      <c r="I1010" s="235">
        <v>1.7</v>
      </c>
      <c r="K1010"/>
      <c r="L1010"/>
      <c r="M1010" s="136"/>
      <c r="N1010" s="136"/>
      <c r="O1010" s="323"/>
    </row>
    <row r="1011" spans="1:15" ht="14.4" hidden="1">
      <c r="A1011" s="235">
        <v>300</v>
      </c>
      <c r="B1011" s="235">
        <v>8.6999999999999993</v>
      </c>
      <c r="C1011" s="235">
        <v>1.8</v>
      </c>
      <c r="D1011" s="235">
        <v>7.7</v>
      </c>
      <c r="E1011" s="235">
        <v>3.5</v>
      </c>
      <c r="F1011" s="235">
        <v>4</v>
      </c>
      <c r="G1011" s="235">
        <v>1</v>
      </c>
      <c r="H1011" s="235">
        <v>3.3</v>
      </c>
      <c r="I1011" s="235">
        <v>1.5</v>
      </c>
      <c r="K1011"/>
      <c r="L1011"/>
      <c r="M1011"/>
      <c r="N1011"/>
      <c r="O1011" s="323"/>
    </row>
    <row r="1012" spans="1:15" ht="14.4" hidden="1">
      <c r="A1012" s="235">
        <v>500</v>
      </c>
      <c r="B1012" s="235">
        <v>7.6</v>
      </c>
      <c r="C1012" s="235">
        <v>1.9</v>
      </c>
      <c r="D1012" s="235">
        <v>6.9</v>
      </c>
      <c r="E1012" s="235">
        <v>3.1</v>
      </c>
      <c r="F1012" s="238">
        <v>3.4</v>
      </c>
      <c r="G1012" s="238">
        <v>1</v>
      </c>
      <c r="H1012" s="238">
        <v>3</v>
      </c>
      <c r="I1012" s="238">
        <v>1.3</v>
      </c>
      <c r="K1012"/>
      <c r="L1012"/>
      <c r="M1012"/>
      <c r="N1012"/>
      <c r="O1012" s="323"/>
    </row>
    <row r="1013" spans="1:15" ht="14.4" hidden="1">
      <c r="A1013" s="235">
        <v>750</v>
      </c>
      <c r="B1013" s="235">
        <v>7.1</v>
      </c>
      <c r="C1013" s="235">
        <v>2</v>
      </c>
      <c r="D1013" s="235">
        <v>6.6</v>
      </c>
      <c r="E1013" s="235">
        <v>3</v>
      </c>
      <c r="F1013" s="257"/>
      <c r="G1013" s="422"/>
      <c r="H1013" s="422"/>
      <c r="I1013" s="422"/>
      <c r="K1013"/>
      <c r="L1013"/>
      <c r="M1013"/>
      <c r="N1013"/>
      <c r="O1013" s="323"/>
    </row>
    <row r="1014" spans="1:15" ht="14.4" hidden="1">
      <c r="A1014" s="239">
        <v>1000</v>
      </c>
      <c r="B1014" s="235">
        <v>6.9</v>
      </c>
      <c r="C1014" s="235">
        <v>2.1</v>
      </c>
      <c r="D1014" s="235">
        <v>6.5</v>
      </c>
      <c r="E1014" s="235">
        <v>2.9</v>
      </c>
      <c r="F1014" s="258"/>
      <c r="G1014" s="260"/>
      <c r="H1014" s="260"/>
      <c r="I1014" s="260"/>
      <c r="K1014"/>
      <c r="L1014"/>
      <c r="M1014"/>
      <c r="N1014"/>
      <c r="O1014" s="323"/>
    </row>
    <row r="1015" spans="1:15" ht="14.4" hidden="1">
      <c r="A1015" s="239">
        <v>1500</v>
      </c>
      <c r="B1015" s="235">
        <v>6.8</v>
      </c>
      <c r="C1015" s="235">
        <v>2.1</v>
      </c>
      <c r="D1015" s="235">
        <v>6.4</v>
      </c>
      <c r="E1015" s="235">
        <v>2.9</v>
      </c>
      <c r="F1015" s="258"/>
      <c r="G1015" s="260"/>
      <c r="H1015" s="260"/>
      <c r="I1015" s="260"/>
      <c r="K1015"/>
      <c r="L1015"/>
      <c r="M1015"/>
      <c r="N1015"/>
      <c r="O1015" s="323"/>
    </row>
    <row r="1016" spans="1:15" ht="14.4" hidden="1">
      <c r="A1016" s="239">
        <v>2500</v>
      </c>
      <c r="B1016" s="235">
        <v>6.6</v>
      </c>
      <c r="C1016" s="235">
        <v>2.2000000000000002</v>
      </c>
      <c r="D1016" s="235">
        <v>6.3</v>
      </c>
      <c r="E1016" s="235">
        <v>2.8</v>
      </c>
      <c r="F1016" s="258"/>
      <c r="G1016" s="260"/>
      <c r="H1016" s="260"/>
      <c r="I1016" s="260"/>
      <c r="K1016"/>
      <c r="L1016"/>
      <c r="M1016"/>
      <c r="N1016"/>
      <c r="O1016" s="323"/>
    </row>
    <row r="1017" spans="1:15" ht="14.4" hidden="1">
      <c r="A1017" s="239">
        <v>5000</v>
      </c>
      <c r="B1017" s="235">
        <v>6.6</v>
      </c>
      <c r="C1017" s="235">
        <v>2.2999999999999998</v>
      </c>
      <c r="D1017" s="235">
        <v>6.3</v>
      </c>
      <c r="E1017" s="235">
        <v>2.8</v>
      </c>
      <c r="F1017" s="258"/>
      <c r="G1017" s="260"/>
      <c r="H1017" s="260"/>
      <c r="I1017" s="260"/>
      <c r="K1017"/>
      <c r="L1017"/>
      <c r="M1017"/>
      <c r="N1017"/>
      <c r="O1017" s="323"/>
    </row>
    <row r="1018" spans="1:15" ht="14.4" hidden="1">
      <c r="A1018" s="240">
        <v>10000</v>
      </c>
      <c r="B1018" s="238">
        <v>6.6</v>
      </c>
      <c r="C1018" s="238">
        <v>2.2999999999999998</v>
      </c>
      <c r="D1018" s="238">
        <v>6.3</v>
      </c>
      <c r="E1018" s="238">
        <v>2.8</v>
      </c>
      <c r="F1018" s="258"/>
      <c r="G1018" s="260"/>
      <c r="H1018" s="260"/>
      <c r="I1018" s="260"/>
      <c r="K1018"/>
      <c r="L1018"/>
      <c r="M1018"/>
      <c r="N1018"/>
      <c r="O1018" s="323"/>
    </row>
    <row r="1019" spans="1:15" ht="16.2" hidden="1">
      <c r="A1019" s="241" t="s">
        <v>1511</v>
      </c>
      <c r="B1019"/>
      <c r="C1019"/>
      <c r="D1019"/>
      <c r="E1019"/>
      <c r="F1019"/>
      <c r="G1019"/>
      <c r="H1019"/>
      <c r="I1019"/>
      <c r="J1019"/>
      <c r="K1019"/>
      <c r="L1019"/>
      <c r="M1019"/>
      <c r="N1019"/>
      <c r="O1019" s="323"/>
    </row>
    <row r="1020" spans="1:15" ht="14.4" hidden="1">
      <c r="A1020"/>
      <c r="B1020"/>
      <c r="C1020"/>
      <c r="D1020"/>
      <c r="E1020"/>
      <c r="F1020"/>
      <c r="G1020"/>
      <c r="H1020"/>
      <c r="I1020"/>
      <c r="J1020"/>
      <c r="K1020"/>
      <c r="L1020"/>
      <c r="M1020"/>
      <c r="N1020"/>
      <c r="O1020" s="323"/>
    </row>
    <row r="1021" spans="1:15" ht="15.6" hidden="1">
      <c r="A1021" s="179" t="s">
        <v>1512</v>
      </c>
      <c r="B1021" t="s">
        <v>1513</v>
      </c>
      <c r="C1021"/>
      <c r="D1021"/>
      <c r="E1021"/>
      <c r="F1021"/>
      <c r="G1021"/>
      <c r="H1021"/>
      <c r="I1021"/>
      <c r="J1021"/>
      <c r="K1021"/>
      <c r="L1021"/>
      <c r="M1021"/>
      <c r="N1021"/>
      <c r="O1021" s="323"/>
    </row>
    <row r="1022" spans="1:15" ht="15.6" hidden="1">
      <c r="A1022" s="234" t="s">
        <v>1496</v>
      </c>
      <c r="B1022" s="1354" t="s">
        <v>1514</v>
      </c>
      <c r="C1022" s="1355"/>
      <c r="D1022" s="1355"/>
      <c r="E1022" s="1355"/>
      <c r="F1022" s="1356"/>
      <c r="G1022"/>
      <c r="H1022"/>
      <c r="I1022"/>
      <c r="J1022"/>
      <c r="K1022"/>
      <c r="L1022"/>
      <c r="M1022"/>
      <c r="N1022"/>
      <c r="O1022" s="323"/>
    </row>
    <row r="1023" spans="1:15" ht="14.4" hidden="1">
      <c r="A1023" s="238" t="s">
        <v>1498</v>
      </c>
      <c r="B1023" s="1304" t="s">
        <v>1499</v>
      </c>
      <c r="C1023" s="1306"/>
      <c r="D1023" s="1305"/>
      <c r="E1023" s="1304" t="s">
        <v>1500</v>
      </c>
      <c r="F1023" s="1305"/>
      <c r="G1023"/>
      <c r="H1023"/>
      <c r="I1023"/>
      <c r="J1023"/>
      <c r="K1023"/>
      <c r="L1023"/>
      <c r="M1023"/>
      <c r="N1023"/>
      <c r="O1023" s="323"/>
    </row>
    <row r="1024" spans="1:15" ht="14.4" hidden="1">
      <c r="A1024" s="234">
        <v>100</v>
      </c>
      <c r="B1024" s="1325">
        <v>1.1399999999999999</v>
      </c>
      <c r="C1024" s="1327"/>
      <c r="D1024" s="1326"/>
      <c r="E1024" s="1325">
        <v>0</v>
      </c>
      <c r="F1024" s="1326"/>
      <c r="G1024"/>
      <c r="H1024"/>
      <c r="I1024"/>
      <c r="J1024"/>
      <c r="K1024"/>
      <c r="L1024"/>
      <c r="M1024"/>
      <c r="N1024"/>
      <c r="O1024" s="323"/>
    </row>
    <row r="1025" spans="1:15" ht="14.4" hidden="1">
      <c r="A1025" s="235">
        <v>150</v>
      </c>
      <c r="B1025" s="1322">
        <v>0.82</v>
      </c>
      <c r="C1025" s="1324"/>
      <c r="D1025" s="1323"/>
      <c r="E1025" s="1322">
        <v>0</v>
      </c>
      <c r="F1025" s="1323"/>
      <c r="G1025"/>
      <c r="H1025"/>
      <c r="I1025"/>
      <c r="J1025"/>
      <c r="K1025"/>
      <c r="L1025"/>
      <c r="M1025"/>
      <c r="N1025"/>
      <c r="O1025" s="323"/>
    </row>
    <row r="1026" spans="1:15" ht="14.4" hidden="1">
      <c r="A1026" s="235">
        <v>200</v>
      </c>
      <c r="B1026" s="1322">
        <v>0.66</v>
      </c>
      <c r="C1026" s="1324"/>
      <c r="D1026" s="1323"/>
      <c r="E1026" s="1322">
        <v>0</v>
      </c>
      <c r="F1026" s="1323"/>
      <c r="G1026"/>
      <c r="H1026"/>
      <c r="I1026"/>
      <c r="J1026"/>
      <c r="K1026"/>
      <c r="L1026"/>
      <c r="M1026"/>
      <c r="N1026"/>
      <c r="O1026" s="323"/>
    </row>
    <row r="1027" spans="1:15" ht="14.4" hidden="1">
      <c r="A1027" s="235">
        <v>300</v>
      </c>
      <c r="B1027" s="1322">
        <v>0.49</v>
      </c>
      <c r="C1027" s="1324"/>
      <c r="D1027" s="1323"/>
      <c r="E1027" s="1322">
        <v>0</v>
      </c>
      <c r="F1027" s="1323"/>
      <c r="G1027"/>
      <c r="H1027"/>
      <c r="I1027"/>
      <c r="J1027"/>
      <c r="K1027"/>
      <c r="L1027"/>
      <c r="M1027"/>
      <c r="N1027"/>
      <c r="O1027" s="323"/>
    </row>
    <row r="1028" spans="1:15" ht="14.4" hidden="1">
      <c r="A1028" s="235">
        <v>500</v>
      </c>
      <c r="B1028" s="1322">
        <v>0.34</v>
      </c>
      <c r="C1028" s="1324"/>
      <c r="D1028" s="1323"/>
      <c r="E1028" s="1322">
        <v>0</v>
      </c>
      <c r="F1028" s="1323"/>
      <c r="G1028"/>
      <c r="H1028"/>
      <c r="I1028"/>
      <c r="J1028"/>
      <c r="K1028"/>
      <c r="L1028"/>
      <c r="M1028"/>
      <c r="N1028"/>
      <c r="O1028" s="323"/>
    </row>
    <row r="1029" spans="1:15" ht="14.4" hidden="1">
      <c r="A1029" s="235">
        <v>750</v>
      </c>
      <c r="B1029" s="1322">
        <v>0.27</v>
      </c>
      <c r="C1029" s="1324"/>
      <c r="D1029" s="1323"/>
      <c r="E1029" s="1322">
        <v>0</v>
      </c>
      <c r="F1029" s="1323"/>
      <c r="G1029"/>
      <c r="H1029"/>
      <c r="I1029"/>
      <c r="J1029"/>
      <c r="K1029"/>
      <c r="L1029"/>
      <c r="M1029"/>
      <c r="N1029"/>
      <c r="O1029" s="323"/>
    </row>
    <row r="1030" spans="1:15" ht="14.4" hidden="1">
      <c r="A1030" s="239">
        <v>1000</v>
      </c>
      <c r="B1030" s="1322">
        <v>0.22</v>
      </c>
      <c r="C1030" s="1324"/>
      <c r="D1030" s="1323"/>
      <c r="E1030" s="1322">
        <v>0</v>
      </c>
      <c r="F1030" s="1323"/>
      <c r="G1030"/>
      <c r="H1030"/>
      <c r="I1030"/>
      <c r="J1030"/>
      <c r="K1030"/>
      <c r="L1030"/>
      <c r="M1030"/>
      <c r="N1030"/>
      <c r="O1030" s="323"/>
    </row>
    <row r="1031" spans="1:15" ht="14.4" hidden="1">
      <c r="A1031" s="239">
        <v>1500</v>
      </c>
      <c r="B1031" s="1322">
        <v>0.18</v>
      </c>
      <c r="C1031" s="1324"/>
      <c r="D1031" s="1323"/>
      <c r="E1031" s="1322">
        <v>0</v>
      </c>
      <c r="F1031" s="1323"/>
      <c r="G1031"/>
      <c r="H1031"/>
      <c r="I1031"/>
      <c r="J1031"/>
      <c r="K1031"/>
      <c r="L1031"/>
      <c r="M1031"/>
      <c r="N1031"/>
      <c r="O1031" s="323"/>
    </row>
    <row r="1032" spans="1:15" ht="14.4" hidden="1">
      <c r="A1032" s="239">
        <v>2500</v>
      </c>
      <c r="B1032" s="1322">
        <v>0.14000000000000001</v>
      </c>
      <c r="C1032" s="1324"/>
      <c r="D1032" s="1323"/>
      <c r="E1032" s="1322">
        <v>0</v>
      </c>
      <c r="F1032" s="1323"/>
      <c r="G1032"/>
      <c r="H1032"/>
      <c r="I1032"/>
      <c r="J1032"/>
      <c r="K1032"/>
      <c r="L1032"/>
      <c r="M1032"/>
      <c r="N1032"/>
      <c r="O1032" s="323"/>
    </row>
    <row r="1033" spans="1:15" ht="14.4" hidden="1">
      <c r="A1033" s="239">
        <v>5000</v>
      </c>
      <c r="B1033" s="1322">
        <v>0.11</v>
      </c>
      <c r="C1033" s="1324"/>
      <c r="D1033" s="1323"/>
      <c r="E1033" s="1322">
        <v>0</v>
      </c>
      <c r="F1033" s="1323"/>
      <c r="G1033"/>
      <c r="H1033"/>
      <c r="I1033"/>
      <c r="J1033"/>
      <c r="K1033"/>
      <c r="L1033"/>
      <c r="M1033"/>
      <c r="N1033"/>
      <c r="O1033" s="323"/>
    </row>
    <row r="1034" spans="1:15" ht="14.4" hidden="1">
      <c r="A1034" s="240">
        <v>10000</v>
      </c>
      <c r="B1034" s="1301">
        <v>0.09</v>
      </c>
      <c r="C1034" s="1303"/>
      <c r="D1034" s="1302"/>
      <c r="E1034" s="1301">
        <v>0</v>
      </c>
      <c r="F1034" s="1302"/>
      <c r="G1034"/>
      <c r="H1034"/>
      <c r="I1034"/>
      <c r="J1034"/>
      <c r="K1034"/>
      <c r="L1034"/>
      <c r="M1034"/>
      <c r="N1034"/>
      <c r="O1034" s="323"/>
    </row>
    <row r="1035" spans="1:15" ht="14.4" hidden="1">
      <c r="A1035"/>
      <c r="B1035"/>
      <c r="C1035"/>
      <c r="D1035"/>
      <c r="E1035"/>
      <c r="F1035"/>
      <c r="G1035"/>
      <c r="H1035"/>
      <c r="I1035"/>
      <c r="J1035"/>
      <c r="K1035"/>
      <c r="L1035"/>
      <c r="M1035"/>
      <c r="N1035"/>
      <c r="O1035" s="323"/>
    </row>
    <row r="1036" spans="1:15" ht="14.4" hidden="1">
      <c r="A1036" s="179" t="s">
        <v>1515</v>
      </c>
      <c r="B1036" t="s">
        <v>1516</v>
      </c>
      <c r="C1036"/>
      <c r="D1036"/>
      <c r="E1036"/>
      <c r="F1036"/>
      <c r="G1036"/>
      <c r="H1036"/>
      <c r="I1036"/>
      <c r="J1036"/>
      <c r="K1036"/>
      <c r="L1036"/>
      <c r="M1036"/>
      <c r="N1036"/>
      <c r="O1036" s="323"/>
    </row>
    <row r="1037" spans="1:15" ht="15.6" hidden="1">
      <c r="A1037" s="242" t="s">
        <v>1517</v>
      </c>
      <c r="B1037" s="243"/>
      <c r="C1037" s="243"/>
      <c r="D1037" s="243"/>
      <c r="E1037" s="244"/>
      <c r="F1037" s="1359" t="s">
        <v>1514</v>
      </c>
      <c r="G1037" s="1360"/>
      <c r="H1037" s="1355"/>
      <c r="I1037" s="1356"/>
      <c r="J1037"/>
      <c r="K1037"/>
      <c r="L1037"/>
      <c r="M1037"/>
      <c r="N1037"/>
      <c r="O1037" s="323"/>
    </row>
    <row r="1038" spans="1:15" ht="14.4" hidden="1">
      <c r="A1038" s="245" t="s">
        <v>1518</v>
      </c>
      <c r="B1038"/>
      <c r="C1038"/>
      <c r="D1038"/>
      <c r="E1038"/>
      <c r="F1038" s="1325" t="s">
        <v>1519</v>
      </c>
      <c r="G1038" s="1326"/>
      <c r="H1038" s="246" t="s">
        <v>1506</v>
      </c>
      <c r="I1038" s="234" t="s">
        <v>1520</v>
      </c>
      <c r="J1038"/>
      <c r="K1038"/>
      <c r="L1038"/>
      <c r="M1038"/>
      <c r="N1038"/>
      <c r="O1038" s="323"/>
    </row>
    <row r="1039" spans="1:15" ht="14.4" hidden="1">
      <c r="A1039" s="245"/>
      <c r="B1039"/>
      <c r="C1039"/>
      <c r="D1039"/>
      <c r="E1039"/>
      <c r="F1039" s="1322" t="s">
        <v>1521</v>
      </c>
      <c r="G1039" s="1323"/>
      <c r="H1039" s="247" t="s">
        <v>1508</v>
      </c>
      <c r="I1039" s="235" t="s">
        <v>1522</v>
      </c>
      <c r="J1039"/>
      <c r="K1039"/>
      <c r="L1039"/>
      <c r="M1039"/>
      <c r="N1039"/>
      <c r="O1039" s="323"/>
    </row>
    <row r="1040" spans="1:15" ht="15.6" hidden="1">
      <c r="A1040" s="236"/>
      <c r="B1040" s="248"/>
      <c r="C1040" s="248"/>
      <c r="D1040" s="248"/>
      <c r="E1040" s="248"/>
      <c r="F1040" s="1301" t="s">
        <v>1509</v>
      </c>
      <c r="G1040" s="1302"/>
      <c r="H1040" s="249" t="s">
        <v>1510</v>
      </c>
      <c r="I1040" s="238" t="s">
        <v>1523</v>
      </c>
      <c r="J1040"/>
      <c r="K1040"/>
      <c r="L1040"/>
      <c r="M1040"/>
      <c r="N1040"/>
      <c r="O1040" s="323"/>
    </row>
    <row r="1041" spans="1:21" ht="14.4" hidden="1">
      <c r="A1041" s="242" t="s">
        <v>1524</v>
      </c>
      <c r="B1041" s="243"/>
      <c r="C1041" s="243"/>
      <c r="D1041" s="243"/>
      <c r="E1041" s="244"/>
      <c r="F1041" s="1325">
        <v>0.25</v>
      </c>
      <c r="G1041" s="1326"/>
      <c r="H1041" s="234">
        <v>0.11</v>
      </c>
      <c r="I1041" s="234">
        <v>0</v>
      </c>
      <c r="J1041"/>
      <c r="K1041"/>
      <c r="L1041"/>
      <c r="M1041"/>
      <c r="N1041"/>
      <c r="O1041" s="323"/>
    </row>
    <row r="1042" spans="1:21" ht="14.4" hidden="1">
      <c r="A1042" s="245" t="s">
        <v>1525</v>
      </c>
      <c r="B1042"/>
      <c r="C1042"/>
      <c r="D1042"/>
      <c r="E1042" s="250"/>
      <c r="F1042" s="1322">
        <v>0.76</v>
      </c>
      <c r="G1042" s="1323"/>
      <c r="H1042" s="235">
        <v>0.34</v>
      </c>
      <c r="I1042" s="235">
        <v>0</v>
      </c>
      <c r="J1042"/>
      <c r="K1042"/>
      <c r="L1042"/>
      <c r="M1042"/>
      <c r="N1042"/>
      <c r="O1042" s="323"/>
    </row>
    <row r="1043" spans="1:21" ht="14.4" hidden="1">
      <c r="A1043" s="245" t="s">
        <v>1526</v>
      </c>
      <c r="B1043"/>
      <c r="C1043"/>
      <c r="D1043"/>
      <c r="E1043" s="250"/>
      <c r="F1043" s="1322">
        <v>1.01</v>
      </c>
      <c r="G1043" s="1323"/>
      <c r="H1043" s="235">
        <v>0.45</v>
      </c>
      <c r="I1043" s="235">
        <v>0</v>
      </c>
      <c r="J1043"/>
      <c r="K1043"/>
      <c r="L1043"/>
      <c r="M1043"/>
      <c r="N1043"/>
      <c r="O1043" s="323"/>
    </row>
    <row r="1044" spans="1:21" ht="14.4" hidden="1">
      <c r="A1044" s="236" t="s">
        <v>1527</v>
      </c>
      <c r="B1044" s="248"/>
      <c r="C1044" s="248"/>
      <c r="D1044" s="248"/>
      <c r="E1044" s="251"/>
      <c r="F1044" s="1301">
        <v>1.51</v>
      </c>
      <c r="G1044" s="1302"/>
      <c r="H1044" s="238">
        <v>0.68</v>
      </c>
      <c r="I1044" s="238">
        <v>0</v>
      </c>
      <c r="J1044"/>
      <c r="K1044"/>
      <c r="L1044"/>
      <c r="M1044"/>
      <c r="N1044"/>
      <c r="O1044" s="323"/>
    </row>
    <row r="1045" spans="1:21" ht="14.4" hidden="1">
      <c r="A1045"/>
      <c r="B1045"/>
      <c r="C1045"/>
      <c r="D1045"/>
      <c r="E1045"/>
      <c r="F1045"/>
      <c r="G1045"/>
      <c r="H1045"/>
      <c r="I1045"/>
      <c r="J1045"/>
      <c r="K1045"/>
      <c r="L1045"/>
      <c r="M1045"/>
      <c r="N1045"/>
      <c r="O1045" s="323"/>
    </row>
    <row r="1046" spans="1:21" ht="15.6" hidden="1">
      <c r="A1046" s="179" t="s">
        <v>1528</v>
      </c>
      <c r="B1046" t="s">
        <v>1529</v>
      </c>
      <c r="C1046"/>
      <c r="D1046"/>
      <c r="E1046"/>
      <c r="F1046"/>
      <c r="G1046"/>
      <c r="H1046"/>
      <c r="I1046"/>
      <c r="J1046"/>
      <c r="K1046"/>
      <c r="L1046"/>
      <c r="M1046"/>
      <c r="N1046"/>
      <c r="O1046" s="323"/>
    </row>
    <row r="1047" spans="1:21" ht="15.6" hidden="1">
      <c r="A1047" s="234" t="s">
        <v>1496</v>
      </c>
      <c r="B1047" s="1304" t="s">
        <v>1530</v>
      </c>
      <c r="C1047" s="1306"/>
      <c r="D1047" s="1306"/>
      <c r="E1047" s="1306"/>
      <c r="F1047" s="1306"/>
      <c r="G1047" s="1306"/>
      <c r="H1047" s="1306"/>
      <c r="I1047" s="1306"/>
      <c r="J1047" s="1306"/>
      <c r="K1047" s="1306"/>
      <c r="L1047" s="1306"/>
      <c r="M1047" s="1305"/>
      <c r="N1047" s="260"/>
      <c r="O1047" s="323"/>
    </row>
    <row r="1048" spans="1:21" ht="14.4" hidden="1">
      <c r="A1048" s="235" t="s">
        <v>1498</v>
      </c>
      <c r="B1048" s="1304" t="s">
        <v>1963</v>
      </c>
      <c r="C1048" s="1306"/>
      <c r="D1048" s="1306"/>
      <c r="E1048" s="1306"/>
      <c r="F1048" s="1306"/>
      <c r="G1048" s="1306"/>
      <c r="H1048" s="1306"/>
      <c r="I1048" s="1306"/>
      <c r="J1048" s="1306"/>
      <c r="K1048" s="1306"/>
      <c r="L1048" s="1306"/>
      <c r="M1048" s="1305"/>
      <c r="N1048" s="260"/>
      <c r="O1048" s="323"/>
    </row>
    <row r="1049" spans="1:21" ht="14.4" hidden="1">
      <c r="A1049" s="231"/>
      <c r="B1049" s="1325" t="s">
        <v>1531</v>
      </c>
      <c r="C1049" s="1326"/>
      <c r="D1049" s="1325" t="s">
        <v>1532</v>
      </c>
      <c r="E1049" s="1326"/>
      <c r="F1049" s="1325" t="s">
        <v>1532</v>
      </c>
      <c r="G1049" s="1326"/>
      <c r="H1049" s="1325" t="s">
        <v>1533</v>
      </c>
      <c r="I1049" s="1326"/>
      <c r="J1049" s="1325" t="s">
        <v>1534</v>
      </c>
      <c r="K1049" s="1326"/>
      <c r="L1049" s="1325" t="s">
        <v>1535</v>
      </c>
      <c r="M1049" s="1326"/>
      <c r="N1049" s="260"/>
      <c r="O1049" s="323"/>
      <c r="Q1049" s="326"/>
      <c r="R1049" s="341"/>
      <c r="S1049" s="341"/>
      <c r="U1049" s="341"/>
    </row>
    <row r="1050" spans="1:21" ht="14.4" hidden="1">
      <c r="A1050" s="231"/>
      <c r="B1050" s="1301" t="s">
        <v>1536</v>
      </c>
      <c r="C1050" s="1302"/>
      <c r="D1050" s="1301" t="s">
        <v>1537</v>
      </c>
      <c r="E1050" s="1302"/>
      <c r="F1050" s="1301" t="s">
        <v>1538</v>
      </c>
      <c r="G1050" s="1302"/>
      <c r="H1050" s="1301" t="s">
        <v>1539</v>
      </c>
      <c r="I1050" s="1302"/>
      <c r="J1050" s="1301"/>
      <c r="K1050" s="1302"/>
      <c r="L1050" s="1301" t="s">
        <v>1540</v>
      </c>
      <c r="M1050" s="1302"/>
      <c r="N1050" s="260"/>
      <c r="O1050" s="323"/>
      <c r="Q1050" s="326"/>
      <c r="R1050" s="341"/>
      <c r="S1050" s="341"/>
      <c r="U1050" s="341"/>
    </row>
    <row r="1051" spans="1:21" ht="14.4" hidden="1">
      <c r="A1051" s="231"/>
      <c r="B1051" s="234" t="s">
        <v>1505</v>
      </c>
      <c r="C1051" s="234" t="s">
        <v>1506</v>
      </c>
      <c r="D1051" s="234" t="s">
        <v>1505</v>
      </c>
      <c r="E1051" s="234" t="s">
        <v>1506</v>
      </c>
      <c r="F1051" s="234" t="s">
        <v>1505</v>
      </c>
      <c r="G1051" s="234" t="s">
        <v>1506</v>
      </c>
      <c r="H1051" s="234" t="s">
        <v>1505</v>
      </c>
      <c r="I1051" s="234" t="s">
        <v>1506</v>
      </c>
      <c r="J1051" s="234" t="s">
        <v>1505</v>
      </c>
      <c r="K1051" s="234" t="s">
        <v>1506</v>
      </c>
      <c r="L1051" s="234" t="s">
        <v>1505</v>
      </c>
      <c r="M1051" s="234" t="s">
        <v>1506</v>
      </c>
      <c r="N1051" s="260"/>
      <c r="O1051" s="323"/>
      <c r="Q1051" s="326"/>
      <c r="R1051" s="341"/>
      <c r="S1051" s="341"/>
      <c r="U1051" s="341"/>
    </row>
    <row r="1052" spans="1:21" ht="14.4" hidden="1">
      <c r="A1052" s="231"/>
      <c r="B1052" s="235" t="s">
        <v>1507</v>
      </c>
      <c r="C1052" s="235" t="s">
        <v>1508</v>
      </c>
      <c r="D1052" s="235" t="s">
        <v>1507</v>
      </c>
      <c r="E1052" s="235" t="s">
        <v>1508</v>
      </c>
      <c r="F1052" s="235" t="s">
        <v>1507</v>
      </c>
      <c r="G1052" s="235" t="s">
        <v>1508</v>
      </c>
      <c r="H1052" s="235" t="s">
        <v>1507</v>
      </c>
      <c r="I1052" s="235" t="s">
        <v>1508</v>
      </c>
      <c r="J1052" s="235" t="s">
        <v>1507</v>
      </c>
      <c r="K1052" s="235" t="s">
        <v>1508</v>
      </c>
      <c r="L1052" s="235" t="s">
        <v>1507</v>
      </c>
      <c r="M1052" s="235" t="s">
        <v>1508</v>
      </c>
      <c r="N1052" s="260"/>
      <c r="O1052" s="323"/>
      <c r="Q1052" s="326"/>
      <c r="R1052" s="341"/>
      <c r="S1052" s="341"/>
      <c r="U1052" s="341"/>
    </row>
    <row r="1053" spans="1:21" ht="15.6" hidden="1">
      <c r="A1053" s="232"/>
      <c r="B1053" s="238" t="s">
        <v>1541</v>
      </c>
      <c r="C1053" s="238" t="s">
        <v>1542</v>
      </c>
      <c r="D1053" s="238" t="s">
        <v>1541</v>
      </c>
      <c r="E1053" s="238" t="s">
        <v>1542</v>
      </c>
      <c r="F1053" s="238" t="s">
        <v>1541</v>
      </c>
      <c r="G1053" s="238" t="s">
        <v>1542</v>
      </c>
      <c r="H1053" s="238" t="s">
        <v>1541</v>
      </c>
      <c r="I1053" s="238" t="s">
        <v>1542</v>
      </c>
      <c r="J1053" s="238" t="s">
        <v>1541</v>
      </c>
      <c r="K1053" s="238" t="s">
        <v>1542</v>
      </c>
      <c r="L1053" s="238" t="s">
        <v>1541</v>
      </c>
      <c r="M1053" s="238" t="s">
        <v>1542</v>
      </c>
      <c r="N1053" s="260"/>
      <c r="O1053" s="323"/>
      <c r="Q1053" s="326"/>
      <c r="R1053" s="341"/>
      <c r="S1053" s="341"/>
      <c r="U1053" s="341"/>
    </row>
    <row r="1054" spans="1:21" ht="14.4" hidden="1">
      <c r="A1054" s="234">
        <v>100</v>
      </c>
      <c r="B1054" s="234">
        <v>5.3</v>
      </c>
      <c r="C1054" s="234">
        <v>2.4</v>
      </c>
      <c r="D1054" s="234">
        <v>4.5999999999999996</v>
      </c>
      <c r="E1054" s="234">
        <v>2.1</v>
      </c>
      <c r="F1054" s="234">
        <v>2.9</v>
      </c>
      <c r="G1054" s="234">
        <v>1.3</v>
      </c>
      <c r="H1054" s="234">
        <v>1.2</v>
      </c>
      <c r="I1054" s="234">
        <v>0.5</v>
      </c>
      <c r="J1054" s="234">
        <v>3.5</v>
      </c>
      <c r="K1054" s="234">
        <v>1.6</v>
      </c>
      <c r="L1054" s="234">
        <v>17.8</v>
      </c>
      <c r="M1054" s="234">
        <v>8</v>
      </c>
      <c r="N1054" s="260"/>
      <c r="O1054" s="323"/>
      <c r="Q1054" s="326"/>
      <c r="R1054" s="341"/>
      <c r="S1054" s="341"/>
      <c r="U1054" s="341"/>
    </row>
    <row r="1055" spans="1:21" ht="14.4" hidden="1">
      <c r="A1055" s="235">
        <v>150</v>
      </c>
      <c r="B1055" s="235">
        <v>3.9</v>
      </c>
      <c r="C1055" s="235">
        <v>1.7</v>
      </c>
      <c r="D1055" s="235">
        <v>3.7</v>
      </c>
      <c r="E1055" s="235">
        <v>1.7</v>
      </c>
      <c r="F1055" s="235">
        <v>2.2999999999999998</v>
      </c>
      <c r="G1055" s="235">
        <v>1</v>
      </c>
      <c r="H1055" s="235">
        <v>1.2</v>
      </c>
      <c r="I1055" s="235">
        <v>0.5</v>
      </c>
      <c r="J1055" s="235">
        <v>2.5</v>
      </c>
      <c r="K1055" s="235">
        <v>1.1000000000000001</v>
      </c>
      <c r="L1055" s="235">
        <v>15</v>
      </c>
      <c r="M1055" s="235">
        <v>6.7</v>
      </c>
      <c r="N1055" s="260"/>
      <c r="O1055" s="323"/>
      <c r="Q1055" s="326"/>
      <c r="R1055" s="341"/>
      <c r="S1055" s="341"/>
      <c r="U1055" s="341"/>
    </row>
    <row r="1056" spans="1:21" ht="14.4" hidden="1">
      <c r="A1056" s="235">
        <v>200</v>
      </c>
      <c r="B1056" s="235">
        <v>3.1</v>
      </c>
      <c r="C1056" s="235">
        <v>1.4</v>
      </c>
      <c r="D1056" s="235">
        <v>3.2</v>
      </c>
      <c r="E1056" s="235">
        <v>1.4</v>
      </c>
      <c r="F1056" s="235">
        <v>1.9</v>
      </c>
      <c r="G1056" s="235">
        <v>0.9</v>
      </c>
      <c r="H1056" s="235">
        <v>1.2</v>
      </c>
      <c r="I1056" s="235">
        <v>0.5</v>
      </c>
      <c r="J1056" s="235">
        <v>2</v>
      </c>
      <c r="K1056" s="235">
        <v>0.9</v>
      </c>
      <c r="L1056" s="235">
        <v>13.4</v>
      </c>
      <c r="M1056" s="235">
        <v>6</v>
      </c>
      <c r="N1056" s="260"/>
      <c r="O1056" s="323"/>
      <c r="Q1056" s="326"/>
      <c r="R1056" s="341"/>
      <c r="S1056" s="341"/>
      <c r="U1056" s="341"/>
    </row>
    <row r="1057" spans="1:21" ht="14.4" hidden="1">
      <c r="A1057" s="235">
        <v>300</v>
      </c>
      <c r="B1057" s="235">
        <v>2.2999999999999998</v>
      </c>
      <c r="C1057" s="235">
        <v>1</v>
      </c>
      <c r="D1057" s="235">
        <v>2.6</v>
      </c>
      <c r="E1057" s="235">
        <v>1.2</v>
      </c>
      <c r="F1057" s="235">
        <v>1.5</v>
      </c>
      <c r="G1057" s="235">
        <v>0.7</v>
      </c>
      <c r="H1057" s="235">
        <v>1.2</v>
      </c>
      <c r="I1057" s="235">
        <v>0.5</v>
      </c>
      <c r="J1057" s="235">
        <v>1.4</v>
      </c>
      <c r="K1057" s="235">
        <v>0.6</v>
      </c>
      <c r="L1057" s="235">
        <v>11.6</v>
      </c>
      <c r="M1057" s="235">
        <v>5.2</v>
      </c>
      <c r="N1057" s="260"/>
      <c r="O1057" s="323"/>
      <c r="Q1057" s="326"/>
      <c r="R1057" s="341"/>
      <c r="S1057" s="341"/>
      <c r="U1057" s="341"/>
    </row>
    <row r="1058" spans="1:21" ht="14.4" hidden="1">
      <c r="A1058" s="235">
        <v>500</v>
      </c>
      <c r="B1058" s="235">
        <v>1.5</v>
      </c>
      <c r="C1058" s="235">
        <v>0.7</v>
      </c>
      <c r="D1058" s="235">
        <v>2</v>
      </c>
      <c r="E1058" s="235">
        <v>0.9</v>
      </c>
      <c r="F1058" s="235">
        <v>1.2</v>
      </c>
      <c r="G1058" s="235">
        <v>0.5</v>
      </c>
      <c r="H1058" s="235">
        <v>1.2</v>
      </c>
      <c r="I1058" s="235">
        <v>0.5</v>
      </c>
      <c r="J1058" s="235">
        <v>1.5</v>
      </c>
      <c r="K1058" s="235">
        <v>0.7</v>
      </c>
      <c r="L1058" s="235">
        <v>9.9</v>
      </c>
      <c r="M1058" s="235">
        <v>4.4000000000000004</v>
      </c>
      <c r="N1058" s="260"/>
      <c r="O1058" s="323"/>
      <c r="Q1058" s="326"/>
      <c r="R1058" s="341"/>
      <c r="S1058" s="341"/>
      <c r="U1058" s="341"/>
    </row>
    <row r="1059" spans="1:21" ht="14.4" hidden="1">
      <c r="A1059" s="235">
        <v>750</v>
      </c>
      <c r="B1059" s="235">
        <v>1.1000000000000001</v>
      </c>
      <c r="C1059" s="235">
        <v>0.5</v>
      </c>
      <c r="D1059" s="235">
        <v>1.7</v>
      </c>
      <c r="E1059" s="235">
        <v>0.7</v>
      </c>
      <c r="F1059" s="235">
        <v>1</v>
      </c>
      <c r="G1059" s="235">
        <v>0.4</v>
      </c>
      <c r="H1059" s="235">
        <v>1.2</v>
      </c>
      <c r="I1059" s="235">
        <v>0.5</v>
      </c>
      <c r="J1059" s="235">
        <v>1.1000000000000001</v>
      </c>
      <c r="K1059" s="235">
        <v>0.5</v>
      </c>
      <c r="L1059" s="235">
        <v>8.8000000000000007</v>
      </c>
      <c r="M1059" s="235">
        <v>3.9</v>
      </c>
      <c r="N1059" s="260"/>
      <c r="O1059" s="323"/>
      <c r="Q1059" s="326"/>
      <c r="R1059" s="341"/>
      <c r="S1059" s="341"/>
      <c r="U1059" s="341"/>
    </row>
    <row r="1060" spans="1:21" ht="14.4" hidden="1">
      <c r="A1060" s="239">
        <v>1000</v>
      </c>
      <c r="B1060" s="235">
        <v>0.9</v>
      </c>
      <c r="C1060" s="235">
        <v>0.4</v>
      </c>
      <c r="D1060" s="235">
        <v>1.6</v>
      </c>
      <c r="E1060" s="235">
        <v>0.7</v>
      </c>
      <c r="F1060" s="235">
        <v>0.8</v>
      </c>
      <c r="G1060" s="235">
        <v>0.4</v>
      </c>
      <c r="H1060" s="235">
        <v>1.2</v>
      </c>
      <c r="I1060" s="235">
        <v>0.5</v>
      </c>
      <c r="J1060" s="235">
        <v>0.9</v>
      </c>
      <c r="K1060" s="235">
        <v>0.4</v>
      </c>
      <c r="L1060" s="235">
        <v>8.5</v>
      </c>
      <c r="M1060" s="235">
        <v>3.8</v>
      </c>
      <c r="N1060" s="260"/>
      <c r="O1060" s="323"/>
      <c r="Q1060" s="326"/>
      <c r="R1060" s="341"/>
      <c r="S1060" s="341"/>
      <c r="U1060" s="341"/>
    </row>
    <row r="1061" spans="1:21" ht="14.4" hidden="1">
      <c r="A1061" s="239">
        <v>1500</v>
      </c>
      <c r="B1061" s="235">
        <v>0.8</v>
      </c>
      <c r="C1061" s="235">
        <v>0.4</v>
      </c>
      <c r="D1061" s="235">
        <v>1.4</v>
      </c>
      <c r="E1061" s="235">
        <v>0.6</v>
      </c>
      <c r="F1061" s="235">
        <v>0.7</v>
      </c>
      <c r="G1061" s="235">
        <v>0.3</v>
      </c>
      <c r="H1061" s="235">
        <v>1.2</v>
      </c>
      <c r="I1061" s="235">
        <v>0.5</v>
      </c>
      <c r="J1061" s="235">
        <v>0.8</v>
      </c>
      <c r="K1061" s="235">
        <v>0.4</v>
      </c>
      <c r="L1061" s="235">
        <v>7.2</v>
      </c>
      <c r="M1061" s="235">
        <v>3.2</v>
      </c>
      <c r="N1061" s="260"/>
      <c r="O1061" s="323"/>
      <c r="Q1061" s="326"/>
      <c r="R1061" s="341"/>
      <c r="S1061" s="341"/>
      <c r="U1061" s="341"/>
    </row>
    <row r="1062" spans="1:21" ht="14.4" hidden="1">
      <c r="A1062" s="239">
        <v>2500</v>
      </c>
      <c r="B1062" s="235">
        <v>0.7</v>
      </c>
      <c r="C1062" s="235">
        <v>0.3</v>
      </c>
      <c r="D1062" s="235">
        <v>1.2</v>
      </c>
      <c r="E1062" s="235">
        <v>0.5</v>
      </c>
      <c r="F1062" s="235">
        <v>0.5</v>
      </c>
      <c r="G1062" s="235">
        <v>0.2</v>
      </c>
      <c r="H1062" s="235">
        <v>1.2</v>
      </c>
      <c r="I1062" s="235">
        <v>0.5</v>
      </c>
      <c r="J1062" s="235">
        <v>0.7</v>
      </c>
      <c r="K1062" s="235">
        <v>0.3</v>
      </c>
      <c r="L1062" s="235">
        <v>6.1</v>
      </c>
      <c r="M1062" s="235">
        <v>2.8</v>
      </c>
      <c r="N1062" s="260"/>
      <c r="O1062" s="323"/>
      <c r="Q1062" s="326"/>
      <c r="R1062" s="341"/>
      <c r="S1062" s="341"/>
      <c r="U1062" s="341"/>
    </row>
    <row r="1063" spans="1:21" ht="14.4" hidden="1">
      <c r="A1063" s="239">
        <v>5000</v>
      </c>
      <c r="B1063" s="235">
        <v>0.5</v>
      </c>
      <c r="C1063" s="235">
        <v>0.2</v>
      </c>
      <c r="D1063" s="235">
        <v>0.9</v>
      </c>
      <c r="E1063" s="235">
        <v>0.4</v>
      </c>
      <c r="F1063" s="235">
        <v>0.5</v>
      </c>
      <c r="G1063" s="235">
        <v>0.2</v>
      </c>
      <c r="H1063" s="235">
        <v>1.2</v>
      </c>
      <c r="I1063" s="235">
        <v>0.5</v>
      </c>
      <c r="J1063" s="235">
        <v>0.5</v>
      </c>
      <c r="K1063" s="235">
        <v>0.2</v>
      </c>
      <c r="L1063" s="235">
        <v>5</v>
      </c>
      <c r="M1063" s="235">
        <v>2.2999999999999998</v>
      </c>
      <c r="N1063" s="260"/>
      <c r="O1063" s="323"/>
      <c r="Q1063" s="326"/>
      <c r="R1063" s="341"/>
      <c r="S1063" s="341"/>
      <c r="U1063" s="341"/>
    </row>
    <row r="1064" spans="1:21" ht="14.4" hidden="1">
      <c r="A1064" s="240">
        <v>10000</v>
      </c>
      <c r="B1064" s="238">
        <v>0.4</v>
      </c>
      <c r="C1064" s="238">
        <v>0.2</v>
      </c>
      <c r="D1064" s="238">
        <v>0.8</v>
      </c>
      <c r="E1064" s="238">
        <v>0.3</v>
      </c>
      <c r="F1064" s="238">
        <v>0.4</v>
      </c>
      <c r="G1064" s="238">
        <v>0.2</v>
      </c>
      <c r="H1064" s="238">
        <v>1.2</v>
      </c>
      <c r="I1064" s="238">
        <v>0.5</v>
      </c>
      <c r="J1064" s="238">
        <v>0.4</v>
      </c>
      <c r="K1064" s="238">
        <v>0.2</v>
      </c>
      <c r="L1064" s="238">
        <v>4.0999999999999996</v>
      </c>
      <c r="M1064" s="238">
        <v>1.8</v>
      </c>
      <c r="N1064" s="260"/>
      <c r="O1064" s="323"/>
      <c r="Q1064" s="326"/>
      <c r="R1064" s="341"/>
      <c r="S1064" s="341"/>
      <c r="U1064" s="341"/>
    </row>
    <row r="1065" spans="1:21" ht="14.4" hidden="1">
      <c r="A1065" s="231"/>
      <c r="B1065" s="1304" t="s">
        <v>1964</v>
      </c>
      <c r="C1065" s="1306"/>
      <c r="D1065" s="1306"/>
      <c r="E1065" s="1306"/>
      <c r="F1065" s="1306"/>
      <c r="G1065" s="1306"/>
      <c r="H1065" s="1306"/>
      <c r="I1065" s="1306"/>
      <c r="J1065" s="1306"/>
      <c r="K1065" s="1306"/>
      <c r="L1065" s="1306"/>
      <c r="M1065" s="1306"/>
      <c r="N1065" s="260"/>
      <c r="O1065" s="323"/>
    </row>
    <row r="1066" spans="1:21" ht="14.4" hidden="1">
      <c r="A1066" s="231"/>
      <c r="B1066" s="1325" t="s">
        <v>1531</v>
      </c>
      <c r="C1066" s="1326"/>
      <c r="D1066" s="1325" t="s">
        <v>1532</v>
      </c>
      <c r="E1066" s="1326"/>
      <c r="F1066" s="1325" t="s">
        <v>1532</v>
      </c>
      <c r="G1066" s="1326"/>
      <c r="H1066" s="1325" t="s">
        <v>1533</v>
      </c>
      <c r="I1066" s="1326"/>
      <c r="J1066" s="1325" t="s">
        <v>1534</v>
      </c>
      <c r="K1066" s="1326"/>
      <c r="L1066" s="1325" t="s">
        <v>1535</v>
      </c>
      <c r="M1066" s="1326"/>
      <c r="N1066" s="260"/>
      <c r="O1066" s="323"/>
    </row>
    <row r="1067" spans="1:21" ht="14.4" hidden="1">
      <c r="A1067" s="231"/>
      <c r="B1067" s="1301" t="s">
        <v>1536</v>
      </c>
      <c r="C1067" s="1302"/>
      <c r="D1067" s="1301" t="s">
        <v>1537</v>
      </c>
      <c r="E1067" s="1302"/>
      <c r="F1067" s="1301" t="s">
        <v>1538</v>
      </c>
      <c r="G1067" s="1302"/>
      <c r="H1067" s="1301" t="s">
        <v>1539</v>
      </c>
      <c r="I1067" s="1302"/>
      <c r="J1067" s="1301"/>
      <c r="K1067" s="1302"/>
      <c r="L1067" s="1301" t="s">
        <v>1540</v>
      </c>
      <c r="M1067" s="1302"/>
      <c r="N1067" s="260"/>
      <c r="O1067" s="323"/>
    </row>
    <row r="1068" spans="1:21" ht="14.4" hidden="1">
      <c r="A1068" s="231"/>
      <c r="B1068" s="234" t="s">
        <v>1505</v>
      </c>
      <c r="C1068" s="234" t="s">
        <v>1506</v>
      </c>
      <c r="D1068" s="234" t="s">
        <v>1505</v>
      </c>
      <c r="E1068" s="234" t="s">
        <v>1506</v>
      </c>
      <c r="F1068" s="234" t="s">
        <v>1505</v>
      </c>
      <c r="G1068" s="234" t="s">
        <v>1506</v>
      </c>
      <c r="H1068" s="234" t="s">
        <v>1505</v>
      </c>
      <c r="I1068" s="234" t="s">
        <v>1506</v>
      </c>
      <c r="J1068" s="234" t="s">
        <v>1505</v>
      </c>
      <c r="K1068" s="234" t="s">
        <v>1506</v>
      </c>
      <c r="L1068" s="234" t="s">
        <v>1505</v>
      </c>
      <c r="M1068" s="234" t="s">
        <v>1506</v>
      </c>
      <c r="N1068" s="260"/>
      <c r="O1068" s="323"/>
    </row>
    <row r="1069" spans="1:21" ht="14.4" hidden="1">
      <c r="A1069" s="231"/>
      <c r="B1069" s="235" t="s">
        <v>1507</v>
      </c>
      <c r="C1069" s="235" t="s">
        <v>1508</v>
      </c>
      <c r="D1069" s="235" t="s">
        <v>1507</v>
      </c>
      <c r="E1069" s="235" t="s">
        <v>1508</v>
      </c>
      <c r="F1069" s="235" t="s">
        <v>1507</v>
      </c>
      <c r="G1069" s="235" t="s">
        <v>1508</v>
      </c>
      <c r="H1069" s="235" t="s">
        <v>1507</v>
      </c>
      <c r="I1069" s="235" t="s">
        <v>1508</v>
      </c>
      <c r="J1069" s="235" t="s">
        <v>1507</v>
      </c>
      <c r="K1069" s="235" t="s">
        <v>1508</v>
      </c>
      <c r="L1069" s="235" t="s">
        <v>1507</v>
      </c>
      <c r="M1069" s="235" t="s">
        <v>1508</v>
      </c>
    </row>
    <row r="1070" spans="1:21" ht="15.6" hidden="1">
      <c r="A1070" s="232"/>
      <c r="B1070" s="238" t="s">
        <v>1541</v>
      </c>
      <c r="C1070" s="238" t="s">
        <v>1542</v>
      </c>
      <c r="D1070" s="238" t="s">
        <v>1541</v>
      </c>
      <c r="E1070" s="238" t="s">
        <v>1542</v>
      </c>
      <c r="F1070" s="238" t="s">
        <v>1541</v>
      </c>
      <c r="G1070" s="238" t="s">
        <v>1542</v>
      </c>
      <c r="H1070" s="238" t="s">
        <v>1541</v>
      </c>
      <c r="I1070" s="238" t="s">
        <v>1542</v>
      </c>
      <c r="J1070" s="238" t="s">
        <v>1541</v>
      </c>
      <c r="K1070" s="238" t="s">
        <v>1542</v>
      </c>
      <c r="L1070" s="238" t="s">
        <v>1541</v>
      </c>
      <c r="M1070" s="238" t="s">
        <v>1542</v>
      </c>
    </row>
    <row r="1071" spans="1:21" ht="14.4" hidden="1">
      <c r="A1071" s="234">
        <v>100</v>
      </c>
      <c r="B1071" s="234">
        <v>6.5</v>
      </c>
      <c r="C1071" s="234">
        <v>0</v>
      </c>
      <c r="D1071" s="234">
        <v>5.5</v>
      </c>
      <c r="E1071" s="234">
        <v>0</v>
      </c>
      <c r="F1071" s="234">
        <v>3.4</v>
      </c>
      <c r="G1071" s="234">
        <v>0</v>
      </c>
      <c r="H1071" s="234">
        <v>1.5</v>
      </c>
      <c r="I1071" s="234">
        <v>0</v>
      </c>
      <c r="J1071" s="234">
        <v>4.3</v>
      </c>
      <c r="K1071" s="234">
        <v>0</v>
      </c>
      <c r="L1071" s="234">
        <v>21.3</v>
      </c>
      <c r="M1071" s="234">
        <v>0</v>
      </c>
    </row>
    <row r="1072" spans="1:21" ht="14.4" hidden="1">
      <c r="A1072" s="235">
        <v>150</v>
      </c>
      <c r="B1072" s="235">
        <v>4.8</v>
      </c>
      <c r="C1072" s="235">
        <v>0</v>
      </c>
      <c r="D1072" s="235">
        <v>4.4000000000000004</v>
      </c>
      <c r="E1072" s="235">
        <v>0</v>
      </c>
      <c r="F1072" s="235">
        <v>2.7</v>
      </c>
      <c r="G1072" s="235">
        <v>0</v>
      </c>
      <c r="H1072" s="235">
        <v>1.5</v>
      </c>
      <c r="I1072" s="235">
        <v>0</v>
      </c>
      <c r="J1072" s="235">
        <v>3.1</v>
      </c>
      <c r="K1072" s="235">
        <v>0</v>
      </c>
      <c r="L1072" s="235">
        <v>18</v>
      </c>
      <c r="M1072" s="235">
        <v>0</v>
      </c>
    </row>
    <row r="1073" spans="1:14" ht="14.4" hidden="1">
      <c r="A1073" s="235">
        <v>200</v>
      </c>
      <c r="B1073" s="235">
        <v>3.8</v>
      </c>
      <c r="C1073" s="235">
        <v>0</v>
      </c>
      <c r="D1073" s="235">
        <v>3.8</v>
      </c>
      <c r="E1073" s="235">
        <v>0</v>
      </c>
      <c r="F1073" s="235">
        <v>2.2999999999999998</v>
      </c>
      <c r="G1073" s="235">
        <v>0</v>
      </c>
      <c r="H1073" s="235">
        <v>1.5</v>
      </c>
      <c r="I1073" s="235">
        <v>0</v>
      </c>
      <c r="J1073" s="235">
        <v>2.4</v>
      </c>
      <c r="K1073" s="235">
        <v>0</v>
      </c>
      <c r="L1073" s="235">
        <v>16.100000000000001</v>
      </c>
      <c r="M1073" s="235">
        <v>0</v>
      </c>
    </row>
    <row r="1074" spans="1:14" ht="14.4" hidden="1">
      <c r="A1074" s="235">
        <v>300</v>
      </c>
      <c r="B1074" s="235">
        <v>2.8</v>
      </c>
      <c r="C1074" s="235">
        <v>0</v>
      </c>
      <c r="D1074" s="235">
        <v>3.1</v>
      </c>
      <c r="E1074" s="235">
        <v>0</v>
      </c>
      <c r="F1074" s="235">
        <v>1.8</v>
      </c>
      <c r="G1074" s="235">
        <v>0</v>
      </c>
      <c r="H1074" s="235">
        <v>1.5</v>
      </c>
      <c r="I1074" s="235">
        <v>0</v>
      </c>
      <c r="J1074" s="235">
        <v>1.7</v>
      </c>
      <c r="K1074" s="235">
        <v>0</v>
      </c>
      <c r="L1074" s="235">
        <v>14</v>
      </c>
      <c r="M1074" s="235">
        <v>0</v>
      </c>
    </row>
    <row r="1075" spans="1:14" ht="14.4" hidden="1">
      <c r="A1075" s="235">
        <v>500</v>
      </c>
      <c r="B1075" s="235">
        <v>1.9</v>
      </c>
      <c r="C1075" s="235">
        <v>0</v>
      </c>
      <c r="D1075" s="235">
        <v>2.4</v>
      </c>
      <c r="E1075" s="235">
        <v>0</v>
      </c>
      <c r="F1075" s="235">
        <v>1.4</v>
      </c>
      <c r="G1075" s="235">
        <v>0</v>
      </c>
      <c r="H1075" s="235">
        <v>1.5</v>
      </c>
      <c r="I1075" s="235">
        <v>0</v>
      </c>
      <c r="J1075" s="235">
        <v>1.9</v>
      </c>
      <c r="K1075" s="235">
        <v>0</v>
      </c>
      <c r="L1075" s="235">
        <v>11.9</v>
      </c>
      <c r="M1075" s="235">
        <v>0</v>
      </c>
    </row>
    <row r="1076" spans="1:14" ht="14.4" hidden="1">
      <c r="A1076" s="235">
        <v>750</v>
      </c>
      <c r="B1076" s="235">
        <v>1.4</v>
      </c>
      <c r="C1076" s="235">
        <v>0</v>
      </c>
      <c r="D1076" s="235">
        <v>2</v>
      </c>
      <c r="E1076" s="235">
        <v>0</v>
      </c>
      <c r="F1076" s="235">
        <v>1.1000000000000001</v>
      </c>
      <c r="G1076" s="235">
        <v>0</v>
      </c>
      <c r="H1076" s="235">
        <v>1.5</v>
      </c>
      <c r="I1076" s="235">
        <v>0</v>
      </c>
      <c r="J1076" s="235">
        <v>1.4</v>
      </c>
      <c r="K1076" s="235">
        <v>0</v>
      </c>
      <c r="L1076" s="235">
        <v>10.5</v>
      </c>
      <c r="M1076" s="235">
        <v>0</v>
      </c>
    </row>
    <row r="1077" spans="1:14" ht="14.4" hidden="1">
      <c r="A1077" s="239">
        <v>1000</v>
      </c>
      <c r="B1077" s="235">
        <v>1.1000000000000001</v>
      </c>
      <c r="C1077" s="235">
        <v>0</v>
      </c>
      <c r="D1077" s="235">
        <v>1.9</v>
      </c>
      <c r="E1077" s="235">
        <v>0</v>
      </c>
      <c r="F1077" s="235">
        <v>1</v>
      </c>
      <c r="G1077" s="235">
        <v>0</v>
      </c>
      <c r="H1077" s="235">
        <v>1.5</v>
      </c>
      <c r="I1077" s="235">
        <v>0</v>
      </c>
      <c r="J1077" s="235">
        <v>1.1000000000000001</v>
      </c>
      <c r="K1077" s="235">
        <v>0</v>
      </c>
      <c r="L1077" s="235">
        <v>10.199999999999999</v>
      </c>
      <c r="M1077" s="235">
        <v>0</v>
      </c>
    </row>
    <row r="1078" spans="1:14" ht="14.4" hidden="1">
      <c r="A1078" s="239">
        <v>1500</v>
      </c>
      <c r="B1078" s="235">
        <v>1</v>
      </c>
      <c r="C1078" s="235">
        <v>0</v>
      </c>
      <c r="D1078" s="235">
        <v>1.7</v>
      </c>
      <c r="E1078" s="235">
        <v>0</v>
      </c>
      <c r="F1078" s="235">
        <v>0.8</v>
      </c>
      <c r="G1078" s="235">
        <v>0</v>
      </c>
      <c r="H1078" s="235">
        <v>1.5</v>
      </c>
      <c r="I1078" s="235">
        <v>0</v>
      </c>
      <c r="J1078" s="235">
        <v>1</v>
      </c>
      <c r="K1078" s="235">
        <v>0</v>
      </c>
      <c r="L1078" s="235">
        <v>8.6</v>
      </c>
      <c r="M1078" s="235">
        <v>0</v>
      </c>
    </row>
    <row r="1079" spans="1:14" ht="14.4" hidden="1">
      <c r="A1079" s="239">
        <v>2500</v>
      </c>
      <c r="B1079" s="235">
        <v>0.9</v>
      </c>
      <c r="C1079" s="235">
        <v>0</v>
      </c>
      <c r="D1079" s="235">
        <v>1.4</v>
      </c>
      <c r="E1079" s="235">
        <v>0</v>
      </c>
      <c r="F1079" s="235">
        <v>0.6</v>
      </c>
      <c r="G1079" s="235">
        <v>0</v>
      </c>
      <c r="H1079" s="235">
        <v>1.5</v>
      </c>
      <c r="I1079" s="235">
        <v>0</v>
      </c>
      <c r="J1079" s="235">
        <v>0.9</v>
      </c>
      <c r="K1079" s="235">
        <v>0</v>
      </c>
      <c r="L1079" s="235">
        <v>7.3</v>
      </c>
      <c r="M1079" s="235">
        <v>0</v>
      </c>
    </row>
    <row r="1080" spans="1:14" ht="14.4" hidden="1">
      <c r="A1080" s="239">
        <v>5000</v>
      </c>
      <c r="B1080" s="235">
        <v>0.7</v>
      </c>
      <c r="C1080" s="235">
        <v>0</v>
      </c>
      <c r="D1080" s="235">
        <v>1.1000000000000001</v>
      </c>
      <c r="E1080" s="235">
        <v>0</v>
      </c>
      <c r="F1080" s="235">
        <v>0.5</v>
      </c>
      <c r="G1080" s="235">
        <v>0</v>
      </c>
      <c r="H1080" s="235">
        <v>1.5</v>
      </c>
      <c r="I1080" s="235">
        <v>0</v>
      </c>
      <c r="J1080" s="235">
        <v>0.7</v>
      </c>
      <c r="K1080" s="235">
        <v>0</v>
      </c>
      <c r="L1080" s="235">
        <v>6</v>
      </c>
      <c r="M1080" s="235">
        <v>0</v>
      </c>
    </row>
    <row r="1081" spans="1:14" ht="14.4" hidden="1">
      <c r="A1081" s="240">
        <v>10000</v>
      </c>
      <c r="B1081" s="238">
        <v>0.5</v>
      </c>
      <c r="C1081" s="238">
        <v>0</v>
      </c>
      <c r="D1081" s="238">
        <v>0.9</v>
      </c>
      <c r="E1081" s="238">
        <v>0</v>
      </c>
      <c r="F1081" s="238">
        <v>0.4</v>
      </c>
      <c r="G1081" s="238">
        <v>0</v>
      </c>
      <c r="H1081" s="238">
        <v>1.5</v>
      </c>
      <c r="I1081" s="238">
        <v>0</v>
      </c>
      <c r="J1081" s="238">
        <v>0.5</v>
      </c>
      <c r="K1081" s="238">
        <v>0</v>
      </c>
      <c r="L1081" s="238">
        <v>4.9000000000000004</v>
      </c>
      <c r="M1081" s="238">
        <v>0</v>
      </c>
    </row>
    <row r="1082" spans="1:14" ht="14.4" hidden="1">
      <c r="A1082"/>
      <c r="B1082"/>
      <c r="C1082"/>
      <c r="D1082"/>
      <c r="E1082"/>
      <c r="F1082"/>
      <c r="G1082"/>
      <c r="H1082"/>
      <c r="I1082"/>
      <c r="J1082"/>
      <c r="K1082"/>
      <c r="L1082"/>
      <c r="M1082"/>
      <c r="N1082"/>
    </row>
    <row r="1083" spans="1:14" ht="15.6" hidden="1">
      <c r="A1083" s="179" t="s">
        <v>1543</v>
      </c>
      <c r="B1083" t="s">
        <v>1544</v>
      </c>
      <c r="C1083"/>
      <c r="D1083"/>
      <c r="E1083"/>
      <c r="F1083"/>
      <c r="G1083"/>
      <c r="H1083"/>
      <c r="I1083"/>
      <c r="J1083"/>
      <c r="K1083"/>
      <c r="L1083"/>
      <c r="M1083"/>
      <c r="N1083"/>
    </row>
    <row r="1084" spans="1:14" ht="15.6" hidden="1">
      <c r="A1084" s="234" t="s">
        <v>1496</v>
      </c>
      <c r="B1084" s="1304" t="s">
        <v>1545</v>
      </c>
      <c r="C1084" s="1306"/>
      <c r="D1084" s="1306"/>
      <c r="E1084" s="1306"/>
      <c r="F1084" s="1306"/>
      <c r="G1084" s="1306"/>
      <c r="H1084" s="1306"/>
      <c r="I1084" s="1306"/>
      <c r="J1084" s="1306"/>
      <c r="K1084" s="1306"/>
      <c r="L1084" s="1306"/>
      <c r="M1084" s="1306"/>
      <c r="N1084" s="1305"/>
    </row>
    <row r="1085" spans="1:14" ht="14.4" hidden="1">
      <c r="A1085" s="235" t="s">
        <v>1498</v>
      </c>
      <c r="B1085" s="1325" t="s">
        <v>1531</v>
      </c>
      <c r="C1085" s="1327"/>
      <c r="D1085" s="1326"/>
      <c r="E1085" s="1325" t="s">
        <v>1532</v>
      </c>
      <c r="F1085" s="1326"/>
      <c r="G1085" s="1325" t="s">
        <v>1532</v>
      </c>
      <c r="H1085" s="1326"/>
      <c r="I1085" s="1325" t="s">
        <v>1533</v>
      </c>
      <c r="J1085" s="1326"/>
      <c r="K1085" s="1325" t="s">
        <v>1534</v>
      </c>
      <c r="L1085" s="1326"/>
      <c r="M1085" s="1325" t="s">
        <v>1535</v>
      </c>
      <c r="N1085" s="1326"/>
    </row>
    <row r="1086" spans="1:14" ht="14.4" hidden="1">
      <c r="A1086" s="235"/>
      <c r="B1086" s="1301" t="s">
        <v>1536</v>
      </c>
      <c r="C1086" s="1303"/>
      <c r="D1086" s="1302"/>
      <c r="E1086" s="1301" t="s">
        <v>1537</v>
      </c>
      <c r="F1086" s="1302"/>
      <c r="G1086" s="1301" t="s">
        <v>1538</v>
      </c>
      <c r="H1086" s="1302"/>
      <c r="I1086" s="1301" t="s">
        <v>1539</v>
      </c>
      <c r="J1086" s="1302"/>
      <c r="K1086" s="1301"/>
      <c r="L1086" s="1302"/>
      <c r="M1086" s="1301" t="s">
        <v>1540</v>
      </c>
      <c r="N1086" s="1302"/>
    </row>
    <row r="1087" spans="1:14" ht="14.4" hidden="1">
      <c r="A1087" s="234">
        <v>100</v>
      </c>
      <c r="B1087" s="1325">
        <v>0.11</v>
      </c>
      <c r="C1087" s="1327"/>
      <c r="D1087" s="1326"/>
      <c r="E1087" s="1325">
        <v>0</v>
      </c>
      <c r="F1087" s="1326"/>
      <c r="G1087" s="1325">
        <v>0</v>
      </c>
      <c r="H1087" s="1326"/>
      <c r="I1087" s="1325">
        <v>0</v>
      </c>
      <c r="J1087" s="1326"/>
      <c r="K1087" s="1325">
        <v>0.11</v>
      </c>
      <c r="L1087" s="1326"/>
      <c r="M1087" s="1325">
        <v>0</v>
      </c>
      <c r="N1087" s="1326"/>
    </row>
    <row r="1088" spans="1:14" ht="14.4" hidden="1">
      <c r="A1088" s="235">
        <v>150</v>
      </c>
      <c r="B1088" s="1322">
        <v>0.08</v>
      </c>
      <c r="C1088" s="1324"/>
      <c r="D1088" s="1323"/>
      <c r="E1088" s="1322">
        <v>0</v>
      </c>
      <c r="F1088" s="1323"/>
      <c r="G1088" s="1322">
        <v>0</v>
      </c>
      <c r="H1088" s="1323"/>
      <c r="I1088" s="1322">
        <v>0</v>
      </c>
      <c r="J1088" s="1323"/>
      <c r="K1088" s="1322">
        <v>0.08</v>
      </c>
      <c r="L1088" s="1323"/>
      <c r="M1088" s="1322">
        <v>0</v>
      </c>
      <c r="N1088" s="1323"/>
    </row>
    <row r="1089" spans="1:14" ht="14.4" hidden="1">
      <c r="A1089" s="235">
        <v>200</v>
      </c>
      <c r="B1089" s="1322">
        <v>7.0000000000000007E-2</v>
      </c>
      <c r="C1089" s="1324"/>
      <c r="D1089" s="1323"/>
      <c r="E1089" s="1322">
        <v>0</v>
      </c>
      <c r="F1089" s="1323"/>
      <c r="G1089" s="1322">
        <v>0</v>
      </c>
      <c r="H1089" s="1323"/>
      <c r="I1089" s="1322">
        <v>0</v>
      </c>
      <c r="J1089" s="1323"/>
      <c r="K1089" s="1322">
        <v>7.0000000000000007E-2</v>
      </c>
      <c r="L1089" s="1323"/>
      <c r="M1089" s="1322">
        <v>0</v>
      </c>
      <c r="N1089" s="1323"/>
    </row>
    <row r="1090" spans="1:14" ht="14.4" hidden="1">
      <c r="A1090" s="235">
        <v>300</v>
      </c>
      <c r="B1090" s="1322">
        <v>0.05</v>
      </c>
      <c r="C1090" s="1324"/>
      <c r="D1090" s="1323"/>
      <c r="E1090" s="1322">
        <v>0</v>
      </c>
      <c r="F1090" s="1323"/>
      <c r="G1090" s="1322">
        <v>0</v>
      </c>
      <c r="H1090" s="1323"/>
      <c r="I1090" s="1322">
        <v>0</v>
      </c>
      <c r="J1090" s="1323"/>
      <c r="K1090" s="1322">
        <v>0.05</v>
      </c>
      <c r="L1090" s="1323"/>
      <c r="M1090" s="1322">
        <v>0</v>
      </c>
      <c r="N1090" s="1323"/>
    </row>
    <row r="1091" spans="1:14" ht="14.4" hidden="1">
      <c r="A1091" s="235">
        <v>500</v>
      </c>
      <c r="B1091" s="1322">
        <v>0.04</v>
      </c>
      <c r="C1091" s="1324"/>
      <c r="D1091" s="1323"/>
      <c r="E1091" s="1322">
        <v>0</v>
      </c>
      <c r="F1091" s="1323"/>
      <c r="G1091" s="1322">
        <v>0</v>
      </c>
      <c r="H1091" s="1323"/>
      <c r="I1091" s="1322">
        <v>0</v>
      </c>
      <c r="J1091" s="1323"/>
      <c r="K1091" s="1322">
        <v>0.04</v>
      </c>
      <c r="L1091" s="1323"/>
      <c r="M1091" s="1322">
        <v>0</v>
      </c>
      <c r="N1091" s="1323"/>
    </row>
    <row r="1092" spans="1:14" ht="14.4" hidden="1">
      <c r="A1092" s="235">
        <v>750</v>
      </c>
      <c r="B1092" s="1322">
        <v>0.04</v>
      </c>
      <c r="C1092" s="1324"/>
      <c r="D1092" s="1323"/>
      <c r="E1092" s="1322">
        <v>0</v>
      </c>
      <c r="F1092" s="1323"/>
      <c r="G1092" s="1322">
        <v>0</v>
      </c>
      <c r="H1092" s="1323"/>
      <c r="I1092" s="1322">
        <v>0</v>
      </c>
      <c r="J1092" s="1323"/>
      <c r="K1092" s="1322">
        <v>0.04</v>
      </c>
      <c r="L1092" s="1323"/>
      <c r="M1092" s="1322">
        <v>0</v>
      </c>
      <c r="N1092" s="1323"/>
    </row>
    <row r="1093" spans="1:14" ht="14.4" hidden="1">
      <c r="A1093" s="239">
        <v>1000</v>
      </c>
      <c r="B1093" s="1322">
        <v>0.03</v>
      </c>
      <c r="C1093" s="1324"/>
      <c r="D1093" s="1323"/>
      <c r="E1093" s="1322">
        <v>0</v>
      </c>
      <c r="F1093" s="1323"/>
      <c r="G1093" s="1322">
        <v>0</v>
      </c>
      <c r="H1093" s="1323"/>
      <c r="I1093" s="1322">
        <v>0</v>
      </c>
      <c r="J1093" s="1323"/>
      <c r="K1093" s="1322">
        <v>0.03</v>
      </c>
      <c r="L1093" s="1323"/>
      <c r="M1093" s="1322">
        <v>0</v>
      </c>
      <c r="N1093" s="1323"/>
    </row>
    <row r="1094" spans="1:14" ht="14.4" hidden="1">
      <c r="A1094" s="239">
        <v>1500</v>
      </c>
      <c r="B1094" s="1322">
        <v>0.03</v>
      </c>
      <c r="C1094" s="1324"/>
      <c r="D1094" s="1323"/>
      <c r="E1094" s="1322">
        <v>0</v>
      </c>
      <c r="F1094" s="1323"/>
      <c r="G1094" s="1322">
        <v>0</v>
      </c>
      <c r="H1094" s="1323"/>
      <c r="I1094" s="1322">
        <v>0</v>
      </c>
      <c r="J1094" s="1323"/>
      <c r="K1094" s="1322">
        <v>0.03</v>
      </c>
      <c r="L1094" s="1323"/>
      <c r="M1094" s="1322">
        <v>0</v>
      </c>
      <c r="N1094" s="1323"/>
    </row>
    <row r="1095" spans="1:14" ht="14.4" hidden="1">
      <c r="A1095" s="239">
        <v>2500</v>
      </c>
      <c r="B1095" s="1322">
        <v>0.03</v>
      </c>
      <c r="C1095" s="1324"/>
      <c r="D1095" s="1323"/>
      <c r="E1095" s="1322">
        <v>0</v>
      </c>
      <c r="F1095" s="1323"/>
      <c r="G1095" s="1322">
        <v>0</v>
      </c>
      <c r="H1095" s="1323"/>
      <c r="I1095" s="1322">
        <v>0</v>
      </c>
      <c r="J1095" s="1323"/>
      <c r="K1095" s="1322">
        <v>0.03</v>
      </c>
      <c r="L1095" s="1323"/>
      <c r="M1095" s="1322">
        <v>0</v>
      </c>
      <c r="N1095" s="1323"/>
    </row>
    <row r="1096" spans="1:14" ht="14.4" hidden="1">
      <c r="A1096" s="239">
        <v>5000</v>
      </c>
      <c r="B1096" s="1322">
        <v>0.04</v>
      </c>
      <c r="C1096" s="1324"/>
      <c r="D1096" s="1323"/>
      <c r="E1096" s="1322">
        <v>0</v>
      </c>
      <c r="F1096" s="1323"/>
      <c r="G1096" s="1322">
        <v>0</v>
      </c>
      <c r="H1096" s="1323"/>
      <c r="I1096" s="1322">
        <v>0</v>
      </c>
      <c r="J1096" s="1323"/>
      <c r="K1096" s="1322">
        <v>0.04</v>
      </c>
      <c r="L1096" s="1323"/>
      <c r="M1096" s="1322">
        <v>0</v>
      </c>
      <c r="N1096" s="1323"/>
    </row>
    <row r="1097" spans="1:14" ht="14.4" hidden="1">
      <c r="A1097" s="240">
        <v>10000</v>
      </c>
      <c r="B1097" s="1301">
        <v>0.04</v>
      </c>
      <c r="C1097" s="1303"/>
      <c r="D1097" s="1302"/>
      <c r="E1097" s="1301">
        <v>0</v>
      </c>
      <c r="F1097" s="1302"/>
      <c r="G1097" s="1301">
        <v>0</v>
      </c>
      <c r="H1097" s="1302"/>
      <c r="I1097" s="1301">
        <v>0</v>
      </c>
      <c r="J1097" s="1302"/>
      <c r="K1097" s="1301">
        <v>0.04</v>
      </c>
      <c r="L1097" s="1302"/>
      <c r="M1097" s="1301">
        <v>0</v>
      </c>
      <c r="N1097" s="1302"/>
    </row>
    <row r="1098" spans="1:14" ht="14.4" hidden="1">
      <c r="A1098"/>
      <c r="B1098"/>
      <c r="C1098"/>
      <c r="D1098"/>
      <c r="E1098"/>
      <c r="F1098"/>
      <c r="G1098"/>
      <c r="H1098"/>
      <c r="I1098"/>
      <c r="J1098"/>
      <c r="K1098"/>
      <c r="L1098"/>
      <c r="M1098"/>
      <c r="N1098"/>
    </row>
    <row r="1099" spans="1:14" ht="15.6" hidden="1">
      <c r="A1099" s="179" t="s">
        <v>1546</v>
      </c>
      <c r="B1099" t="s">
        <v>1547</v>
      </c>
      <c r="C1099"/>
      <c r="D1099"/>
      <c r="E1099"/>
      <c r="F1099"/>
      <c r="G1099"/>
      <c r="H1099"/>
      <c r="I1099"/>
      <c r="J1099"/>
      <c r="K1099"/>
      <c r="L1099"/>
      <c r="M1099"/>
      <c r="N1099"/>
    </row>
    <row r="1100" spans="1:14" ht="15.6" hidden="1">
      <c r="A1100" s="252">
        <v>1</v>
      </c>
      <c r="B1100" s="233" t="s">
        <v>1548</v>
      </c>
      <c r="C1100" s="253"/>
      <c r="D1100" s="253"/>
      <c r="E1100" s="253"/>
      <c r="F1100" s="254"/>
      <c r="G1100" s="233" t="s">
        <v>1549</v>
      </c>
      <c r="H1100" s="253"/>
      <c r="I1100" s="253"/>
      <c r="J1100" s="254"/>
      <c r="K1100" s="255" t="s">
        <v>1550</v>
      </c>
      <c r="L1100"/>
      <c r="M1100"/>
      <c r="N1100"/>
    </row>
    <row r="1101" spans="1:14" ht="15.6" hidden="1">
      <c r="A1101" s="231"/>
      <c r="B1101" s="242"/>
      <c r="C1101" s="243"/>
      <c r="D1101" s="243"/>
      <c r="E1101" s="235" t="s">
        <v>1551</v>
      </c>
      <c r="F1101" s="235" t="s">
        <v>1552</v>
      </c>
      <c r="G1101" s="1325" t="s">
        <v>1553</v>
      </c>
      <c r="H1101" s="1326"/>
      <c r="I1101" s="1325" t="s">
        <v>1554</v>
      </c>
      <c r="J1101" s="1326"/>
      <c r="K1101" s="230"/>
      <c r="L1101"/>
      <c r="M1101"/>
      <c r="N1101"/>
    </row>
    <row r="1102" spans="1:14" ht="14.4" hidden="1">
      <c r="A1102" s="231"/>
      <c r="B1102" s="245"/>
      <c r="C1102"/>
      <c r="D1102"/>
      <c r="E1102" s="235" t="s">
        <v>1498</v>
      </c>
      <c r="F1102" s="235" t="s">
        <v>1498</v>
      </c>
      <c r="G1102" s="1322" t="s">
        <v>1555</v>
      </c>
      <c r="H1102" s="1323"/>
      <c r="I1102" s="1322" t="s">
        <v>1555</v>
      </c>
      <c r="J1102" s="1323"/>
      <c r="K1102" s="231"/>
      <c r="L1102"/>
      <c r="M1102"/>
      <c r="N1102"/>
    </row>
    <row r="1103" spans="1:14" ht="14.4" hidden="1">
      <c r="A1103" s="231"/>
      <c r="B1103" s="245"/>
      <c r="C1103"/>
      <c r="D1103"/>
      <c r="E1103" s="235"/>
      <c r="F1103" s="235"/>
      <c r="G1103" s="1322" t="s">
        <v>1556</v>
      </c>
      <c r="H1103" s="1323"/>
      <c r="I1103" s="1322" t="s">
        <v>1556</v>
      </c>
      <c r="J1103" s="1323"/>
      <c r="K1103" s="231"/>
      <c r="L1103"/>
      <c r="M1103"/>
      <c r="N1103"/>
    </row>
    <row r="1104" spans="1:14" ht="14.4" hidden="1">
      <c r="A1104" s="231"/>
      <c r="B1104" s="245"/>
      <c r="C1104"/>
      <c r="D1104"/>
      <c r="E1104" s="235"/>
      <c r="F1104" s="235"/>
      <c r="G1104" s="1301" t="s">
        <v>1557</v>
      </c>
      <c r="H1104" s="1302"/>
      <c r="I1104" s="1301" t="s">
        <v>1557</v>
      </c>
      <c r="J1104" s="1302"/>
      <c r="K1104" s="231"/>
      <c r="L1104"/>
      <c r="M1104"/>
      <c r="N1104"/>
    </row>
    <row r="1105" spans="1:14" ht="14.4" hidden="1">
      <c r="A1105" s="231"/>
      <c r="B1105" s="245"/>
      <c r="C1105"/>
      <c r="D1105"/>
      <c r="E1105" s="235"/>
      <c r="F1105" s="235"/>
      <c r="G1105" s="246" t="s">
        <v>1558</v>
      </c>
      <c r="H1105" s="234" t="s">
        <v>1559</v>
      </c>
      <c r="I1105" s="234" t="s">
        <v>1558</v>
      </c>
      <c r="J1105" s="234" t="s">
        <v>1559</v>
      </c>
      <c r="K1105" s="231"/>
      <c r="L1105"/>
      <c r="M1105"/>
      <c r="N1105"/>
    </row>
    <row r="1106" spans="1:14" ht="14.4" hidden="1">
      <c r="A1106" s="231"/>
      <c r="B1106" s="236"/>
      <c r="C1106" s="248"/>
      <c r="D1106" s="248"/>
      <c r="E1106" s="238"/>
      <c r="F1106" s="238"/>
      <c r="G1106" s="247" t="s">
        <v>1560</v>
      </c>
      <c r="H1106" s="235" t="s">
        <v>1560</v>
      </c>
      <c r="I1106" s="235" t="s">
        <v>1560</v>
      </c>
      <c r="J1106" s="235" t="s">
        <v>1560</v>
      </c>
      <c r="K1106" s="231"/>
      <c r="L1106"/>
      <c r="M1106"/>
      <c r="N1106"/>
    </row>
    <row r="1107" spans="1:14" ht="14.4" hidden="1">
      <c r="A1107" s="231"/>
      <c r="B1107" s="242" t="s">
        <v>1561</v>
      </c>
      <c r="C1107" s="243"/>
      <c r="D1107" s="243"/>
      <c r="E1107" s="234">
        <v>3.6</v>
      </c>
      <c r="F1107" s="234">
        <v>100</v>
      </c>
      <c r="G1107" s="234">
        <v>0.51</v>
      </c>
      <c r="H1107" s="234">
        <v>0.63</v>
      </c>
      <c r="I1107" s="234">
        <v>0.55000000000000004</v>
      </c>
      <c r="J1107" s="234">
        <v>0.68</v>
      </c>
      <c r="K1107" s="231"/>
      <c r="L1107"/>
      <c r="M1107"/>
      <c r="N1107"/>
    </row>
    <row r="1108" spans="1:14" ht="14.4" hidden="1">
      <c r="A1108" s="231"/>
      <c r="B1108" s="245"/>
      <c r="C1108"/>
      <c r="D1108"/>
      <c r="E1108" s="235">
        <v>5</v>
      </c>
      <c r="F1108" s="235">
        <v>150</v>
      </c>
      <c r="G1108" s="235">
        <v>0.51</v>
      </c>
      <c r="H1108" s="235">
        <v>0.61</v>
      </c>
      <c r="I1108" s="235">
        <v>0.54</v>
      </c>
      <c r="J1108" s="235">
        <v>0.64</v>
      </c>
      <c r="K1108" s="231"/>
      <c r="L1108"/>
      <c r="M1108"/>
      <c r="N1108"/>
    </row>
    <row r="1109" spans="1:14" ht="14.4" hidden="1">
      <c r="A1109" s="231"/>
      <c r="B1109" s="245"/>
      <c r="C1109"/>
      <c r="D1109"/>
      <c r="E1109" s="235">
        <v>6.2</v>
      </c>
      <c r="F1109" s="235">
        <v>200</v>
      </c>
      <c r="G1109" s="235">
        <v>0.5</v>
      </c>
      <c r="H1109" s="235">
        <v>0.59</v>
      </c>
      <c r="I1109" s="235">
        <v>0.53</v>
      </c>
      <c r="J1109" s="235">
        <v>0.62</v>
      </c>
      <c r="K1109" s="231"/>
      <c r="L1109"/>
      <c r="M1109"/>
      <c r="N1109"/>
    </row>
    <row r="1110" spans="1:14" ht="14.4" hidden="1">
      <c r="A1110" s="231"/>
      <c r="B1110" s="245"/>
      <c r="C1110"/>
      <c r="D1110"/>
      <c r="E1110" s="235">
        <v>8.6</v>
      </c>
      <c r="F1110" s="235">
        <v>300</v>
      </c>
      <c r="G1110" s="235">
        <v>0.49</v>
      </c>
      <c r="H1110" s="235">
        <v>0.56999999999999995</v>
      </c>
      <c r="I1110" s="235">
        <v>0.51</v>
      </c>
      <c r="J1110" s="235">
        <v>0.57999999999999996</v>
      </c>
      <c r="K1110" s="231"/>
      <c r="L1110"/>
      <c r="M1110"/>
      <c r="N1110"/>
    </row>
    <row r="1111" spans="1:14" ht="14.4" hidden="1">
      <c r="A1111" s="231"/>
      <c r="B1111" s="245"/>
      <c r="C1111"/>
      <c r="D1111"/>
      <c r="E1111" s="235">
        <v>13</v>
      </c>
      <c r="F1111" s="235">
        <v>500</v>
      </c>
      <c r="G1111" s="235">
        <v>0.53</v>
      </c>
      <c r="H1111" s="235">
        <v>0.54</v>
      </c>
      <c r="I1111" s="235"/>
      <c r="J1111" s="235"/>
      <c r="K1111" s="231"/>
      <c r="L1111"/>
      <c r="M1111"/>
      <c r="N1111"/>
    </row>
    <row r="1112" spans="1:14" ht="14.4" hidden="1">
      <c r="A1112" s="231"/>
      <c r="B1112" s="245"/>
      <c r="C1112"/>
      <c r="D1112"/>
      <c r="E1112" s="235">
        <v>18</v>
      </c>
      <c r="F1112" s="235">
        <v>750</v>
      </c>
      <c r="G1112" s="235">
        <v>0.5</v>
      </c>
      <c r="H1112" s="235">
        <v>0.51</v>
      </c>
      <c r="I1112" s="235"/>
      <c r="J1112" s="235"/>
      <c r="K1112" s="231"/>
      <c r="L1112"/>
      <c r="M1112"/>
      <c r="N1112"/>
    </row>
    <row r="1113" spans="1:14" ht="14.4" hidden="1">
      <c r="A1113" s="231"/>
      <c r="B1113" s="245"/>
      <c r="C1113"/>
      <c r="D1113"/>
      <c r="E1113" s="235">
        <v>22.6</v>
      </c>
      <c r="F1113" s="239">
        <v>1000</v>
      </c>
      <c r="G1113" s="235">
        <v>0.48</v>
      </c>
      <c r="H1113" s="235">
        <v>0.49</v>
      </c>
      <c r="I1113" s="235"/>
      <c r="J1113" s="235"/>
      <c r="K1113" s="231"/>
      <c r="L1113"/>
      <c r="M1113"/>
      <c r="N1113"/>
    </row>
    <row r="1114" spans="1:14" ht="14.4" hidden="1">
      <c r="A1114" s="231"/>
      <c r="B1114" s="245"/>
      <c r="C1114"/>
      <c r="D1114"/>
      <c r="E1114" s="235">
        <v>31.3</v>
      </c>
      <c r="F1114" s="239">
        <v>1500</v>
      </c>
      <c r="G1114" s="235">
        <v>0.45</v>
      </c>
      <c r="H1114" s="235">
        <v>0.46</v>
      </c>
      <c r="I1114" s="235"/>
      <c r="J1114" s="235"/>
      <c r="K1114" s="231"/>
      <c r="L1114"/>
      <c r="M1114"/>
      <c r="N1114"/>
    </row>
    <row r="1115" spans="1:14" ht="14.4" hidden="1">
      <c r="A1115" s="231"/>
      <c r="B1115" s="245"/>
      <c r="C1115"/>
      <c r="D1115"/>
      <c r="E1115" s="235">
        <v>47.1</v>
      </c>
      <c r="F1115" s="239">
        <v>2500</v>
      </c>
      <c r="G1115" s="235">
        <v>0.42</v>
      </c>
      <c r="H1115" s="235">
        <v>0.43</v>
      </c>
      <c r="I1115" s="235"/>
      <c r="J1115" s="235"/>
      <c r="K1115" s="231"/>
      <c r="L1115"/>
      <c r="M1115"/>
      <c r="N1115"/>
    </row>
    <row r="1116" spans="1:14" ht="14.4" hidden="1">
      <c r="A1116" s="232"/>
      <c r="B1116" s="236"/>
      <c r="C1116" s="248"/>
      <c r="D1116" s="248"/>
      <c r="E1116" s="238">
        <v>54.4</v>
      </c>
      <c r="F1116" s="240">
        <v>3000</v>
      </c>
      <c r="G1116" s="238">
        <v>0.41</v>
      </c>
      <c r="H1116" s="238">
        <v>0.42</v>
      </c>
      <c r="I1116" s="238"/>
      <c r="J1116" s="238"/>
      <c r="K1116" s="232"/>
      <c r="L1116"/>
      <c r="M1116"/>
      <c r="N1116"/>
    </row>
    <row r="1117" spans="1:14" ht="15.6" hidden="1">
      <c r="A1117" s="234">
        <v>2</v>
      </c>
      <c r="B1117" s="242" t="s">
        <v>1562</v>
      </c>
      <c r="C1117" s="243"/>
      <c r="D1117" s="243"/>
      <c r="E1117" s="243"/>
      <c r="F1117" s="243"/>
      <c r="G1117" s="243"/>
      <c r="H1117" s="244"/>
      <c r="I1117" s="1306" t="s">
        <v>1563</v>
      </c>
      <c r="J1117" s="1305"/>
      <c r="K1117" s="255" t="s">
        <v>1564</v>
      </c>
      <c r="L1117"/>
      <c r="M1117"/>
      <c r="N1117"/>
    </row>
    <row r="1118" spans="1:14" ht="15.6" hidden="1">
      <c r="A1118" s="231"/>
      <c r="B1118" s="236"/>
      <c r="C1118" s="248"/>
      <c r="D1118" s="248"/>
      <c r="E1118" s="248"/>
      <c r="F1118" s="248"/>
      <c r="G1118" s="248"/>
      <c r="H1118" s="251"/>
      <c r="I1118" s="1304" t="s">
        <v>1565</v>
      </c>
      <c r="J1118" s="1305"/>
      <c r="K1118" s="230"/>
      <c r="L1118"/>
      <c r="M1118"/>
      <c r="N1118"/>
    </row>
    <row r="1119" spans="1:14" ht="14.4" hidden="1">
      <c r="A1119" s="231"/>
      <c r="B1119" s="242" t="s">
        <v>1566</v>
      </c>
      <c r="C1119" s="243"/>
      <c r="D1119" s="243"/>
      <c r="E1119" s="243"/>
      <c r="F1119" s="243"/>
      <c r="G1119" s="243"/>
      <c r="H1119" s="244"/>
      <c r="I1119" s="1325">
        <v>1</v>
      </c>
      <c r="J1119" s="1326"/>
      <c r="K1119" s="231"/>
      <c r="L1119"/>
      <c r="M1119"/>
      <c r="N1119"/>
    </row>
    <row r="1120" spans="1:14" ht="14.4" hidden="1">
      <c r="A1120" s="231"/>
      <c r="B1120" s="245" t="s">
        <v>535</v>
      </c>
      <c r="C1120"/>
      <c r="D1120"/>
      <c r="E1120"/>
      <c r="F1120"/>
      <c r="G1120"/>
      <c r="H1120" s="250"/>
      <c r="I1120" s="1322">
        <v>1</v>
      </c>
      <c r="J1120" s="1323"/>
      <c r="K1120" s="231"/>
      <c r="L1120"/>
      <c r="M1120"/>
      <c r="N1120"/>
    </row>
    <row r="1121" spans="1:22" ht="14.4" hidden="1">
      <c r="A1121" s="231"/>
      <c r="B1121" s="245" t="s">
        <v>1567</v>
      </c>
      <c r="C1121"/>
      <c r="D1121"/>
      <c r="E1121"/>
      <c r="F1121"/>
      <c r="G1121"/>
      <c r="H1121" s="250"/>
      <c r="I1121" s="1322">
        <v>1</v>
      </c>
      <c r="J1121" s="1323"/>
      <c r="K1121" s="231"/>
      <c r="L1121"/>
      <c r="M1121"/>
      <c r="N1121"/>
    </row>
    <row r="1122" spans="1:22" ht="14.4" hidden="1">
      <c r="A1122" s="231"/>
      <c r="B1122" s="245" t="s">
        <v>1568</v>
      </c>
      <c r="C1122"/>
      <c r="D1122"/>
      <c r="E1122"/>
      <c r="F1122"/>
      <c r="G1122"/>
      <c r="H1122" s="250"/>
      <c r="I1122" s="1322">
        <v>1</v>
      </c>
      <c r="J1122" s="1323"/>
      <c r="K1122" s="231"/>
      <c r="L1122"/>
      <c r="M1122"/>
      <c r="N1122"/>
    </row>
    <row r="1123" spans="1:22" ht="14.4" hidden="1">
      <c r="A1123" s="231"/>
      <c r="B1123" s="245" t="s">
        <v>1569</v>
      </c>
      <c r="C1123"/>
      <c r="D1123"/>
      <c r="E1123"/>
      <c r="F1123"/>
      <c r="G1123"/>
      <c r="H1123" s="250"/>
      <c r="I1123" s="1322">
        <v>0.95</v>
      </c>
      <c r="J1123" s="1323"/>
      <c r="K1123" s="231"/>
      <c r="L1123"/>
      <c r="M1123"/>
      <c r="N1123"/>
    </row>
    <row r="1124" spans="1:22" ht="16.2" hidden="1">
      <c r="A1124" s="231"/>
      <c r="B1124" s="245" t="s">
        <v>1570</v>
      </c>
      <c r="C1124"/>
      <c r="D1124"/>
      <c r="E1124"/>
      <c r="F1124"/>
      <c r="G1124"/>
      <c r="H1124" s="250"/>
      <c r="I1124" s="1322">
        <v>0.95</v>
      </c>
      <c r="J1124" s="1323"/>
      <c r="K1124" s="231"/>
      <c r="L1124"/>
      <c r="M1124"/>
      <c r="N1124"/>
    </row>
    <row r="1125" spans="1:22" ht="16.2" hidden="1">
      <c r="A1125" s="231"/>
      <c r="B1125" s="245" t="s">
        <v>1571</v>
      </c>
      <c r="C1125"/>
      <c r="D1125"/>
      <c r="E1125"/>
      <c r="F1125"/>
      <c r="G1125"/>
      <c r="H1125" s="250"/>
      <c r="I1125" s="1322">
        <v>0.95</v>
      </c>
      <c r="J1125" s="1323"/>
      <c r="K1125" s="231"/>
      <c r="L1125"/>
      <c r="M1125"/>
      <c r="N1125"/>
    </row>
    <row r="1126" spans="1:22" ht="14.4" hidden="1">
      <c r="A1126" s="231"/>
      <c r="B1126" s="245" t="s">
        <v>1572</v>
      </c>
      <c r="C1126"/>
      <c r="D1126"/>
      <c r="E1126"/>
      <c r="F1126"/>
      <c r="G1126"/>
      <c r="H1126" s="250"/>
      <c r="I1126" s="1322">
        <v>1</v>
      </c>
      <c r="J1126" s="1323"/>
      <c r="K1126" s="231"/>
      <c r="L1126"/>
      <c r="M1126"/>
      <c r="N1126"/>
    </row>
    <row r="1127" spans="1:22" ht="14.4" hidden="1">
      <c r="A1127" s="231"/>
      <c r="B1127" s="245" t="s">
        <v>1573</v>
      </c>
      <c r="C1127"/>
      <c r="D1127"/>
      <c r="E1127"/>
      <c r="F1127"/>
      <c r="G1127"/>
      <c r="H1127" s="250"/>
      <c r="I1127" s="1322">
        <v>1</v>
      </c>
      <c r="J1127" s="1323"/>
      <c r="K1127" s="231"/>
      <c r="L1127"/>
      <c r="M1127"/>
      <c r="N1127"/>
    </row>
    <row r="1128" spans="1:22" ht="14.4" hidden="1">
      <c r="A1128" s="232"/>
      <c r="B1128" s="236" t="s">
        <v>1574</v>
      </c>
      <c r="C1128" s="248"/>
      <c r="D1128" s="248"/>
      <c r="E1128" s="248"/>
      <c r="F1128" s="248"/>
      <c r="G1128" s="248"/>
      <c r="H1128" s="251"/>
      <c r="I1128" s="1301">
        <v>1</v>
      </c>
      <c r="J1128" s="1302"/>
      <c r="K1128" s="232"/>
      <c r="L1128"/>
      <c r="M1128"/>
      <c r="N1128"/>
    </row>
    <row r="1129" spans="1:22" ht="15.6" hidden="1">
      <c r="A1129" s="255">
        <v>3</v>
      </c>
      <c r="B1129" s="233" t="s">
        <v>1575</v>
      </c>
      <c r="C1129" s="253"/>
      <c r="D1129" s="253"/>
      <c r="E1129" s="253"/>
      <c r="F1129" s="253"/>
      <c r="G1129" s="253"/>
      <c r="H1129" s="254"/>
      <c r="I1129" s="1304" t="s">
        <v>1576</v>
      </c>
      <c r="J1129" s="1305"/>
      <c r="K1129" s="255" t="s">
        <v>1577</v>
      </c>
      <c r="L1129"/>
      <c r="M1129"/>
      <c r="N1129"/>
    </row>
    <row r="1130" spans="1:22" ht="15.6" hidden="1">
      <c r="A1130" s="256"/>
      <c r="B1130" s="253"/>
      <c r="C1130" s="253"/>
      <c r="D1130" s="253"/>
      <c r="E1130" s="253"/>
      <c r="F1130" s="253"/>
      <c r="G1130" s="253"/>
      <c r="H1130" s="253"/>
      <c r="I1130" s="1306" t="s">
        <v>342</v>
      </c>
      <c r="J1130" s="1305"/>
      <c r="K1130" s="255" t="s">
        <v>1578</v>
      </c>
      <c r="L1130"/>
      <c r="M1130"/>
      <c r="N1130"/>
    </row>
    <row r="1131" spans="1:22" ht="16.2" hidden="1">
      <c r="A1131" s="241" t="s">
        <v>1579</v>
      </c>
      <c r="B1131"/>
      <c r="C1131"/>
      <c r="D1131"/>
      <c r="E1131"/>
      <c r="F1131"/>
      <c r="G1131"/>
      <c r="H1131"/>
      <c r="I1131"/>
      <c r="J1131"/>
      <c r="K1131"/>
      <c r="L1131"/>
      <c r="M1131"/>
      <c r="N1131"/>
    </row>
    <row r="1132" spans="1:22" ht="16.2" hidden="1">
      <c r="A1132" s="241" t="s">
        <v>1580</v>
      </c>
      <c r="B1132"/>
      <c r="C1132"/>
      <c r="D1132"/>
      <c r="E1132"/>
      <c r="F1132"/>
      <c r="G1132"/>
      <c r="H1132"/>
      <c r="I1132"/>
      <c r="J1132"/>
      <c r="K1132"/>
      <c r="L1132"/>
      <c r="M1132"/>
      <c r="N1132"/>
    </row>
    <row r="1133" spans="1:22" ht="14.4" hidden="1">
      <c r="A1133"/>
      <c r="B1133"/>
      <c r="C1133"/>
      <c r="D1133"/>
      <c r="E1133"/>
      <c r="F1133"/>
      <c r="G1133"/>
      <c r="H1133"/>
      <c r="I1133"/>
      <c r="J1133"/>
      <c r="K1133"/>
      <c r="L1133"/>
      <c r="M1133"/>
      <c r="N1133"/>
    </row>
    <row r="1134" spans="1:22" ht="15.6" hidden="1">
      <c r="A1134" s="179" t="s">
        <v>1581</v>
      </c>
      <c r="B1134" t="s">
        <v>1582</v>
      </c>
      <c r="C1134"/>
      <c r="D1134"/>
      <c r="E1134"/>
      <c r="F1134"/>
      <c r="G1134"/>
      <c r="H1134"/>
      <c r="I1134"/>
      <c r="J1134"/>
      <c r="K1134"/>
      <c r="L1134"/>
      <c r="M1134"/>
      <c r="N1134"/>
    </row>
    <row r="1135" spans="1:22" ht="15.6" hidden="1">
      <c r="A1135" s="234" t="s">
        <v>1496</v>
      </c>
      <c r="B1135" s="1325" t="s">
        <v>1583</v>
      </c>
      <c r="C1135" s="1327"/>
      <c r="D1135" s="1327"/>
      <c r="E1135" s="1327"/>
      <c r="F1135" s="1327"/>
      <c r="G1135" s="1326"/>
      <c r="H1135" s="1325" t="s">
        <v>1490</v>
      </c>
      <c r="I1135" s="1326"/>
      <c r="J1135"/>
      <c r="K1135"/>
      <c r="L1135"/>
      <c r="M1135"/>
      <c r="N1135"/>
      <c r="O1135" s="323"/>
      <c r="Q1135" s="326"/>
      <c r="S1135" s="327"/>
      <c r="T1135" s="326"/>
      <c r="U1135" s="328"/>
      <c r="V1135" s="323"/>
    </row>
    <row r="1136" spans="1:22" ht="15.6" hidden="1">
      <c r="A1136" s="235" t="s">
        <v>1498</v>
      </c>
      <c r="B1136" s="1301" t="s">
        <v>1584</v>
      </c>
      <c r="C1136" s="1303"/>
      <c r="D1136" s="1303"/>
      <c r="E1136" s="1303"/>
      <c r="F1136" s="1303"/>
      <c r="G1136" s="1302"/>
      <c r="H1136" s="1301" t="s">
        <v>1585</v>
      </c>
      <c r="I1136" s="1302"/>
      <c r="J1136"/>
      <c r="K1136"/>
      <c r="L1136"/>
      <c r="M1136"/>
      <c r="N1136"/>
      <c r="O1136" s="323"/>
      <c r="Q1136" s="326"/>
      <c r="S1136" s="327"/>
      <c r="T1136" s="326"/>
      <c r="U1136" s="328"/>
      <c r="V1136" s="323"/>
    </row>
    <row r="1137" spans="1:22" ht="14.4" hidden="1">
      <c r="A1137" s="235"/>
      <c r="B1137" s="234" t="s">
        <v>1586</v>
      </c>
      <c r="C1137" s="234" t="s">
        <v>1587</v>
      </c>
      <c r="D1137" s="234" t="s">
        <v>1588</v>
      </c>
      <c r="E1137" s="234" t="s">
        <v>1588</v>
      </c>
      <c r="F1137" s="234" t="s">
        <v>1589</v>
      </c>
      <c r="G1137" s="234" t="s">
        <v>1589</v>
      </c>
      <c r="H1137" s="234" t="s">
        <v>1589</v>
      </c>
      <c r="I1137" s="234" t="s">
        <v>1590</v>
      </c>
      <c r="J1137"/>
      <c r="K1137"/>
      <c r="L1137"/>
      <c r="M1137"/>
      <c r="N1137"/>
      <c r="O1137" s="323"/>
      <c r="Q1137" s="326"/>
      <c r="S1137" s="327"/>
      <c r="T1137" s="326"/>
      <c r="U1137" s="328"/>
      <c r="V1137" s="323"/>
    </row>
    <row r="1138" spans="1:22" ht="16.2" hidden="1">
      <c r="A1138" s="235"/>
      <c r="B1138" s="235" t="s">
        <v>1591</v>
      </c>
      <c r="C1138" s="235" t="s">
        <v>1591</v>
      </c>
      <c r="D1138" s="235" t="s">
        <v>1592</v>
      </c>
      <c r="E1138" s="235" t="s">
        <v>1592</v>
      </c>
      <c r="F1138" s="235" t="s">
        <v>1593</v>
      </c>
      <c r="G1138" s="235" t="s">
        <v>1593</v>
      </c>
      <c r="H1138" s="235" t="s">
        <v>1594</v>
      </c>
      <c r="I1138" s="235" t="s">
        <v>1595</v>
      </c>
      <c r="J1138"/>
      <c r="K1138"/>
      <c r="L1138"/>
      <c r="M1138"/>
      <c r="N1138"/>
      <c r="O1138" s="323"/>
      <c r="Q1138" s="326"/>
      <c r="S1138" s="327"/>
      <c r="T1138" s="326"/>
      <c r="U1138" s="328"/>
      <c r="V1138" s="323"/>
    </row>
    <row r="1139" spans="1:22" ht="14.4" hidden="1">
      <c r="A1139" s="235"/>
      <c r="B1139" s="235" t="s">
        <v>1596</v>
      </c>
      <c r="C1139" s="235" t="s">
        <v>1594</v>
      </c>
      <c r="D1139" s="235" t="s">
        <v>1594</v>
      </c>
      <c r="E1139" s="235" t="s">
        <v>1594</v>
      </c>
      <c r="F1139" s="235" t="s">
        <v>1597</v>
      </c>
      <c r="G1139" s="235" t="s">
        <v>1598</v>
      </c>
      <c r="H1139" s="235"/>
      <c r="I1139" s="235"/>
      <c r="J1139"/>
      <c r="K1139"/>
      <c r="L1139"/>
      <c r="M1139"/>
      <c r="N1139"/>
      <c r="O1139" s="323"/>
      <c r="Q1139" s="326"/>
      <c r="S1139" s="327"/>
      <c r="T1139" s="326"/>
      <c r="U1139" s="328"/>
      <c r="V1139" s="323"/>
    </row>
    <row r="1140" spans="1:22" ht="14.4" hidden="1">
      <c r="A1140" s="238"/>
      <c r="B1140" s="238" t="s">
        <v>1599</v>
      </c>
      <c r="C1140" s="238"/>
      <c r="D1140" s="238"/>
      <c r="E1140" s="238" t="s">
        <v>1600</v>
      </c>
      <c r="F1140" s="238" t="s">
        <v>1601</v>
      </c>
      <c r="G1140" s="238" t="s">
        <v>1601</v>
      </c>
      <c r="H1140" s="238"/>
      <c r="I1140" s="238"/>
      <c r="J1140"/>
      <c r="K1140"/>
      <c r="L1140"/>
      <c r="M1140"/>
      <c r="N1140"/>
      <c r="O1140" s="323"/>
      <c r="Q1140" s="326"/>
      <c r="S1140" s="327"/>
      <c r="T1140" s="326"/>
      <c r="U1140" s="328"/>
      <c r="V1140" s="323"/>
    </row>
    <row r="1141" spans="1:22" ht="14.4" hidden="1">
      <c r="A1141" s="234">
        <v>100</v>
      </c>
      <c r="B1141" s="234">
        <v>1.82</v>
      </c>
      <c r="C1141" s="234">
        <v>1.21</v>
      </c>
      <c r="D1141" s="234">
        <v>1.17</v>
      </c>
      <c r="E1141" s="234">
        <v>1.1499999999999999</v>
      </c>
      <c r="F1141" s="246" t="s">
        <v>1602</v>
      </c>
      <c r="G1141" s="234" t="s">
        <v>1603</v>
      </c>
      <c r="H1141" s="257">
        <v>0.2</v>
      </c>
      <c r="I1141" s="234">
        <v>0.3</v>
      </c>
      <c r="J1141"/>
      <c r="K1141"/>
      <c r="L1141"/>
      <c r="M1141"/>
      <c r="N1141"/>
      <c r="O1141" s="323"/>
      <c r="Q1141" s="326"/>
      <c r="S1141" s="327"/>
      <c r="T1141" s="326"/>
      <c r="U1141" s="328"/>
      <c r="V1141" s="323"/>
    </row>
    <row r="1142" spans="1:22" ht="14.4" hidden="1">
      <c r="A1142" s="235">
        <v>150</v>
      </c>
      <c r="B1142" s="235">
        <v>1.71</v>
      </c>
      <c r="C1142" s="235">
        <v>1.19</v>
      </c>
      <c r="D1142" s="235">
        <v>1.1499999999999999</v>
      </c>
      <c r="E1142" s="235">
        <v>1.1299999999999999</v>
      </c>
      <c r="F1142" s="247" t="s">
        <v>1604</v>
      </c>
      <c r="G1142" s="235" t="s">
        <v>1605</v>
      </c>
      <c r="H1142" s="258">
        <v>0.19</v>
      </c>
      <c r="I1142" s="235">
        <v>0.24</v>
      </c>
      <c r="J1142"/>
      <c r="K1142"/>
      <c r="L1142"/>
      <c r="M1142"/>
      <c r="N1142"/>
      <c r="O1142" s="323"/>
      <c r="Q1142" s="326"/>
      <c r="S1142" s="327"/>
      <c r="T1142" s="326"/>
      <c r="U1142" s="328"/>
      <c r="V1142" s="323"/>
    </row>
    <row r="1143" spans="1:22" ht="14.4" hidden="1">
      <c r="A1143" s="235">
        <v>200</v>
      </c>
      <c r="B1143" s="235">
        <v>1.64</v>
      </c>
      <c r="C1143" s="235">
        <v>1.18</v>
      </c>
      <c r="D1143" s="235">
        <v>1.1399999999999999</v>
      </c>
      <c r="E1143" s="235">
        <v>1.1200000000000001</v>
      </c>
      <c r="F1143" s="247" t="s">
        <v>1606</v>
      </c>
      <c r="G1143" s="235" t="s">
        <v>1607</v>
      </c>
      <c r="H1143" s="258">
        <v>0.18</v>
      </c>
      <c r="I1143" s="235">
        <v>0.21</v>
      </c>
      <c r="J1143"/>
      <c r="K1143"/>
      <c r="L1143"/>
      <c r="M1143"/>
      <c r="N1143"/>
      <c r="O1143" s="323"/>
      <c r="Q1143" s="326"/>
      <c r="S1143" s="327"/>
      <c r="T1143" s="326"/>
      <c r="U1143" s="328"/>
      <c r="V1143" s="323"/>
    </row>
    <row r="1144" spans="1:22" ht="14.4" hidden="1">
      <c r="A1144" s="235">
        <v>300</v>
      </c>
      <c r="B1144" s="235">
        <v>1.56</v>
      </c>
      <c r="C1144" s="235">
        <v>1.17</v>
      </c>
      <c r="D1144" s="235">
        <v>1.1299999999999999</v>
      </c>
      <c r="E1144" s="235">
        <v>1.1100000000000001</v>
      </c>
      <c r="F1144" s="247" t="s">
        <v>1608</v>
      </c>
      <c r="G1144" s="235" t="s">
        <v>1609</v>
      </c>
      <c r="H1144" s="258">
        <v>0.17</v>
      </c>
      <c r="I1144" s="235">
        <v>0.17</v>
      </c>
      <c r="J1144"/>
      <c r="K1144"/>
      <c r="L1144"/>
      <c r="M1144"/>
      <c r="N1144"/>
      <c r="O1144" s="323"/>
      <c r="Q1144" s="326"/>
      <c r="S1144" s="327"/>
      <c r="T1144" s="326"/>
      <c r="U1144" s="328"/>
      <c r="V1144" s="323"/>
    </row>
    <row r="1145" spans="1:22" ht="14.4" hidden="1">
      <c r="A1145" s="235">
        <v>500</v>
      </c>
      <c r="B1145" s="235">
        <v>1.46</v>
      </c>
      <c r="C1145" s="235">
        <v>1.1499999999999999</v>
      </c>
      <c r="D1145" s="235">
        <v>1.1200000000000001</v>
      </c>
      <c r="E1145" s="235">
        <v>1.1000000000000001</v>
      </c>
      <c r="F1145" s="249" t="s">
        <v>1610</v>
      </c>
      <c r="G1145" s="238" t="s">
        <v>1611</v>
      </c>
      <c r="H1145" s="259">
        <v>0.17</v>
      </c>
      <c r="I1145" s="235">
        <v>0.13</v>
      </c>
      <c r="J1145"/>
      <c r="K1145"/>
      <c r="L1145"/>
      <c r="M1145"/>
      <c r="N1145"/>
      <c r="O1145" s="323"/>
      <c r="Q1145" s="326"/>
      <c r="S1145" s="327"/>
      <c r="T1145" s="326"/>
      <c r="U1145" s="328"/>
      <c r="V1145" s="323"/>
    </row>
    <row r="1146" spans="1:22" ht="14.4" hidden="1">
      <c r="A1146" s="235">
        <v>750</v>
      </c>
      <c r="B1146" s="235">
        <v>1.4</v>
      </c>
      <c r="C1146" s="235">
        <v>1.1399999999999999</v>
      </c>
      <c r="D1146" s="235">
        <v>1.1100000000000001</v>
      </c>
      <c r="E1146" s="235">
        <v>1.0900000000000001</v>
      </c>
      <c r="F1146" s="257"/>
      <c r="G1146" s="234"/>
      <c r="H1146" s="234"/>
      <c r="I1146" s="235">
        <v>0.11</v>
      </c>
      <c r="J1146"/>
      <c r="K1146"/>
      <c r="L1146"/>
      <c r="M1146"/>
      <c r="N1146"/>
      <c r="O1146" s="323"/>
      <c r="Q1146" s="326"/>
      <c r="S1146" s="327"/>
      <c r="T1146" s="326"/>
      <c r="U1146" s="328"/>
      <c r="V1146" s="323"/>
    </row>
    <row r="1147" spans="1:22" ht="14.4" hidden="1">
      <c r="A1147" s="239">
        <v>1000</v>
      </c>
      <c r="B1147" s="235">
        <v>1.36</v>
      </c>
      <c r="C1147" s="235">
        <v>1.1399999999999999</v>
      </c>
      <c r="D1147" s="235">
        <v>1.1000000000000001</v>
      </c>
      <c r="E1147" s="235">
        <v>1.08</v>
      </c>
      <c r="F1147" s="258"/>
      <c r="G1147" s="235"/>
      <c r="H1147" s="235"/>
      <c r="I1147" s="235">
        <v>0.1</v>
      </c>
      <c r="J1147"/>
      <c r="K1147"/>
      <c r="L1147"/>
      <c r="M1147"/>
      <c r="N1147"/>
      <c r="O1147" s="323"/>
      <c r="Q1147" s="326"/>
      <c r="S1147" s="327"/>
      <c r="T1147" s="326"/>
      <c r="U1147" s="328"/>
      <c r="V1147" s="323"/>
    </row>
    <row r="1148" spans="1:22" ht="14.4" hidden="1">
      <c r="A1148" s="239">
        <v>1500</v>
      </c>
      <c r="B1148" s="235">
        <v>1.31</v>
      </c>
      <c r="C1148" s="235">
        <v>1.1299999999999999</v>
      </c>
      <c r="D1148" s="235">
        <v>1.1000000000000001</v>
      </c>
      <c r="E1148" s="235">
        <v>1.07</v>
      </c>
      <c r="F1148" s="258"/>
      <c r="G1148" s="235"/>
      <c r="H1148" s="235"/>
      <c r="I1148" s="235">
        <v>8.4000000000000005E-2</v>
      </c>
      <c r="J1148"/>
      <c r="K1148"/>
      <c r="L1148"/>
      <c r="M1148"/>
      <c r="N1148"/>
      <c r="O1148" s="323"/>
      <c r="Q1148" s="326"/>
      <c r="S1148" s="327"/>
      <c r="T1148" s="326"/>
      <c r="U1148" s="328"/>
      <c r="V1148" s="323"/>
    </row>
    <row r="1149" spans="1:22" ht="14.4" hidden="1">
      <c r="A1149" s="239">
        <v>2500</v>
      </c>
      <c r="B1149" s="235">
        <v>1.26</v>
      </c>
      <c r="C1149" s="235">
        <v>1.1200000000000001</v>
      </c>
      <c r="D1149" s="235">
        <v>1.0900000000000001</v>
      </c>
      <c r="E1149" s="235">
        <v>1.07</v>
      </c>
      <c r="F1149" s="258"/>
      <c r="G1149" s="235"/>
      <c r="H1149" s="235"/>
      <c r="I1149" s="235">
        <v>6.9000000000000006E-2</v>
      </c>
      <c r="J1149"/>
      <c r="K1149"/>
      <c r="L1149"/>
      <c r="M1149"/>
      <c r="N1149"/>
      <c r="O1149" s="323"/>
      <c r="Q1149" s="326"/>
      <c r="S1149" s="327"/>
      <c r="T1149" s="326"/>
      <c r="U1149" s="328"/>
      <c r="V1149" s="323"/>
    </row>
    <row r="1150" spans="1:22" ht="14.4" hidden="1">
      <c r="A1150" s="239">
        <v>5000</v>
      </c>
      <c r="B1150" s="235">
        <v>1.21</v>
      </c>
      <c r="C1150" s="235">
        <v>1.1100000000000001</v>
      </c>
      <c r="D1150" s="235">
        <v>1.08</v>
      </c>
      <c r="E1150" s="235">
        <v>1.06</v>
      </c>
      <c r="F1150" s="258"/>
      <c r="G1150" s="235"/>
      <c r="H1150" s="235"/>
      <c r="I1150" s="235">
        <v>5.3999999999999999E-2</v>
      </c>
      <c r="J1150"/>
      <c r="K1150"/>
      <c r="L1150"/>
      <c r="M1150"/>
      <c r="N1150"/>
      <c r="O1150" s="323"/>
      <c r="Q1150" s="326"/>
      <c r="S1150" s="327"/>
      <c r="T1150" s="326"/>
      <c r="U1150" s="328"/>
      <c r="V1150" s="323"/>
    </row>
    <row r="1151" spans="1:22" ht="14.4" hidden="1">
      <c r="A1151" s="240">
        <v>10000</v>
      </c>
      <c r="B1151" s="238">
        <v>1.17</v>
      </c>
      <c r="C1151" s="238">
        <v>1.1000000000000001</v>
      </c>
      <c r="D1151" s="238">
        <v>1.08</v>
      </c>
      <c r="E1151" s="238">
        <v>1.05</v>
      </c>
      <c r="F1151" s="259"/>
      <c r="G1151" s="238"/>
      <c r="H1151" s="238"/>
      <c r="I1151" s="238">
        <v>4.3999999999999997E-2</v>
      </c>
      <c r="J1151"/>
      <c r="K1151"/>
      <c r="L1151"/>
      <c r="M1151"/>
      <c r="N1151"/>
      <c r="O1151" s="323"/>
      <c r="Q1151" s="326"/>
      <c r="S1151" s="327"/>
      <c r="T1151" s="326"/>
      <c r="U1151" s="328"/>
      <c r="V1151" s="323"/>
    </row>
    <row r="1152" spans="1:22" ht="14.4" hidden="1">
      <c r="A1152" t="s">
        <v>1612</v>
      </c>
      <c r="B1152"/>
      <c r="C1152"/>
      <c r="D1152"/>
      <c r="E1152"/>
      <c r="F1152"/>
      <c r="G1152"/>
      <c r="H1152"/>
      <c r="I1152"/>
      <c r="J1152"/>
      <c r="K1152"/>
      <c r="L1152"/>
      <c r="M1152"/>
      <c r="N1152"/>
    </row>
    <row r="1153" spans="1:14" ht="14.4" hidden="1">
      <c r="A1153" t="s">
        <v>1613</v>
      </c>
      <c r="B1153"/>
      <c r="C1153"/>
      <c r="D1153"/>
      <c r="E1153"/>
      <c r="F1153"/>
      <c r="G1153"/>
      <c r="H1153"/>
      <c r="I1153"/>
      <c r="J1153"/>
      <c r="K1153"/>
      <c r="L1153"/>
      <c r="M1153"/>
      <c r="N1153"/>
    </row>
    <row r="1154" spans="1:14" ht="16.2" hidden="1">
      <c r="A1154" s="241" t="s">
        <v>1614</v>
      </c>
      <c r="B1154"/>
      <c r="C1154"/>
      <c r="D1154"/>
      <c r="E1154"/>
      <c r="F1154"/>
      <c r="G1154"/>
      <c r="H1154"/>
      <c r="I1154"/>
      <c r="J1154"/>
      <c r="K1154"/>
      <c r="L1154"/>
      <c r="M1154"/>
      <c r="N1154"/>
    </row>
    <row r="1155" spans="1:14" ht="14.4" hidden="1">
      <c r="A1155"/>
      <c r="B1155"/>
      <c r="C1155"/>
      <c r="D1155"/>
      <c r="E1155"/>
      <c r="F1155"/>
      <c r="G1155"/>
      <c r="H1155"/>
      <c r="I1155"/>
      <c r="J1155"/>
      <c r="K1155"/>
      <c r="L1155"/>
      <c r="M1155"/>
      <c r="N1155"/>
    </row>
    <row r="1156" spans="1:14" ht="15.6" hidden="1">
      <c r="A1156" s="179" t="s">
        <v>1615</v>
      </c>
      <c r="B1156" t="s">
        <v>1616</v>
      </c>
      <c r="C1156"/>
      <c r="D1156"/>
      <c r="E1156"/>
      <c r="F1156"/>
      <c r="G1156"/>
      <c r="H1156"/>
      <c r="I1156"/>
      <c r="J1156"/>
      <c r="K1156"/>
      <c r="L1156"/>
      <c r="M1156"/>
      <c r="N1156"/>
    </row>
    <row r="1157" spans="1:14" ht="14.4" hidden="1">
      <c r="A1157" s="242"/>
      <c r="B1157" s="244"/>
      <c r="C1157" s="243"/>
      <c r="D1157" s="1325" t="s">
        <v>1583</v>
      </c>
      <c r="E1157" s="1326"/>
      <c r="F1157" s="1325" t="s">
        <v>1490</v>
      </c>
      <c r="G1157" s="1326"/>
      <c r="H1157"/>
      <c r="I1157"/>
      <c r="J1157"/>
      <c r="K1157"/>
      <c r="L1157"/>
      <c r="M1157"/>
      <c r="N1157"/>
    </row>
    <row r="1158" spans="1:14" ht="15.6" hidden="1">
      <c r="A1158" s="236"/>
      <c r="B1158" s="251"/>
      <c r="C1158" s="248"/>
      <c r="D1158" s="1301" t="s">
        <v>1584</v>
      </c>
      <c r="E1158" s="1302"/>
      <c r="F1158" s="1301" t="s">
        <v>1585</v>
      </c>
      <c r="G1158" s="1302"/>
      <c r="H1158"/>
      <c r="I1158"/>
      <c r="J1158"/>
      <c r="K1158"/>
      <c r="L1158"/>
      <c r="M1158"/>
      <c r="N1158"/>
    </row>
    <row r="1159" spans="1:14" ht="16.2" hidden="1">
      <c r="A1159" s="233" t="s">
        <v>457</v>
      </c>
      <c r="B1159" s="254"/>
      <c r="C1159" s="253"/>
      <c r="D1159" s="1304" t="s">
        <v>1617</v>
      </c>
      <c r="E1159" s="1305"/>
      <c r="F1159" s="1304">
        <v>0</v>
      </c>
      <c r="G1159" s="1305"/>
      <c r="H1159"/>
      <c r="I1159"/>
      <c r="J1159"/>
      <c r="K1159"/>
      <c r="L1159"/>
      <c r="M1159"/>
      <c r="N1159"/>
    </row>
    <row r="1160" spans="1:14" ht="16.2" hidden="1">
      <c r="A1160" s="241" t="s">
        <v>1618</v>
      </c>
      <c r="B1160"/>
      <c r="C1160"/>
      <c r="D1160"/>
      <c r="E1160"/>
      <c r="F1160"/>
      <c r="G1160"/>
      <c r="H1160"/>
      <c r="I1160"/>
      <c r="J1160"/>
      <c r="K1160"/>
      <c r="L1160"/>
      <c r="M1160"/>
      <c r="N1160"/>
    </row>
    <row r="1161" spans="1:14" ht="14.4" hidden="1">
      <c r="A1161"/>
      <c r="B1161"/>
      <c r="C1161"/>
      <c r="D1161"/>
      <c r="E1161"/>
      <c r="F1161"/>
      <c r="G1161"/>
      <c r="H1161"/>
      <c r="I1161"/>
      <c r="J1161"/>
      <c r="K1161"/>
      <c r="L1161"/>
      <c r="M1161"/>
      <c r="N1161"/>
    </row>
    <row r="1162" spans="1:14" ht="15.6" hidden="1">
      <c r="A1162" s="179" t="s">
        <v>1619</v>
      </c>
      <c r="B1162" t="s">
        <v>1620</v>
      </c>
      <c r="C1162"/>
      <c r="D1162"/>
      <c r="E1162"/>
      <c r="F1162"/>
      <c r="G1162"/>
      <c r="H1162"/>
      <c r="I1162"/>
      <c r="J1162"/>
      <c r="K1162"/>
      <c r="L1162"/>
      <c r="M1162"/>
      <c r="N1162"/>
    </row>
    <row r="1163" spans="1:14" ht="14.4" hidden="1">
      <c r="A1163" s="242"/>
      <c r="B1163" s="243"/>
      <c r="C1163" s="243"/>
      <c r="D1163" s="243"/>
      <c r="E1163" s="243"/>
      <c r="F1163" s="244"/>
      <c r="G1163" s="1325" t="s">
        <v>1583</v>
      </c>
      <c r="H1163" s="1326"/>
      <c r="I1163" s="1325" t="s">
        <v>1490</v>
      </c>
      <c r="J1163" s="1326"/>
      <c r="K1163"/>
      <c r="L1163"/>
      <c r="M1163"/>
      <c r="N1163"/>
    </row>
    <row r="1164" spans="1:14" ht="15.6" hidden="1">
      <c r="A1164" s="236"/>
      <c r="B1164" s="248"/>
      <c r="C1164" s="248"/>
      <c r="D1164" s="248"/>
      <c r="E1164" s="248"/>
      <c r="F1164" s="251"/>
      <c r="G1164" s="1301" t="s">
        <v>1584</v>
      </c>
      <c r="H1164" s="1302"/>
      <c r="I1164" s="1301" t="s">
        <v>1585</v>
      </c>
      <c r="J1164" s="1302"/>
      <c r="K1164"/>
      <c r="L1164"/>
      <c r="M1164"/>
      <c r="N1164"/>
    </row>
    <row r="1165" spans="1:14" ht="14.4" hidden="1">
      <c r="A1165" s="242" t="s">
        <v>458</v>
      </c>
      <c r="B1165" s="243"/>
      <c r="C1165" s="243"/>
      <c r="D1165" s="243"/>
      <c r="E1165" s="243"/>
      <c r="F1165" s="244"/>
      <c r="G1165" s="1325">
        <v>1</v>
      </c>
      <c r="H1165" s="1326"/>
      <c r="I1165" s="1325">
        <v>0</v>
      </c>
      <c r="J1165" s="1326"/>
      <c r="K1165"/>
      <c r="L1165"/>
      <c r="M1165"/>
      <c r="N1165"/>
    </row>
    <row r="1166" spans="1:14" ht="14.4" hidden="1">
      <c r="A1166" s="245" t="s">
        <v>1621</v>
      </c>
      <c r="B1166"/>
      <c r="C1166"/>
      <c r="D1166"/>
      <c r="E1166"/>
      <c r="F1166" s="250"/>
      <c r="G1166" s="1322">
        <v>1</v>
      </c>
      <c r="H1166" s="1323"/>
      <c r="I1166" s="1322">
        <v>0</v>
      </c>
      <c r="J1166" s="1323"/>
      <c r="K1166"/>
      <c r="L1166"/>
      <c r="M1166"/>
      <c r="N1166"/>
    </row>
    <row r="1167" spans="1:14" ht="16.8" hidden="1">
      <c r="A1167" s="245" t="s">
        <v>1622</v>
      </c>
      <c r="B1167"/>
      <c r="C1167"/>
      <c r="D1167"/>
      <c r="E1167"/>
      <c r="F1167" s="250"/>
      <c r="G1167" s="1322">
        <v>0.23</v>
      </c>
      <c r="H1167" s="1323"/>
      <c r="I1167" s="1322" t="s">
        <v>1623</v>
      </c>
      <c r="J1167" s="1323"/>
      <c r="K1167"/>
      <c r="L1167"/>
      <c r="M1167"/>
      <c r="N1167"/>
    </row>
    <row r="1168" spans="1:14" ht="16.8" hidden="1">
      <c r="A1168" s="245" t="s">
        <v>1624</v>
      </c>
      <c r="B1168"/>
      <c r="C1168"/>
      <c r="D1168"/>
      <c r="E1168"/>
      <c r="F1168" s="250"/>
      <c r="G1168" s="1322">
        <v>0.27</v>
      </c>
      <c r="H1168" s="1323"/>
      <c r="I1168" s="1322" t="s">
        <v>1625</v>
      </c>
      <c r="J1168" s="1323"/>
      <c r="K1168"/>
      <c r="L1168"/>
      <c r="M1168"/>
      <c r="N1168"/>
    </row>
    <row r="1169" spans="1:14" ht="14.4" hidden="1">
      <c r="A1169" s="245" t="s">
        <v>1626</v>
      </c>
      <c r="B1169"/>
      <c r="C1169"/>
      <c r="D1169"/>
      <c r="E1169"/>
      <c r="F1169" s="250"/>
      <c r="G1169" s="1322">
        <v>0.3</v>
      </c>
      <c r="H1169" s="1323"/>
      <c r="I1169" s="1322">
        <v>0</v>
      </c>
      <c r="J1169" s="1323"/>
      <c r="K1169"/>
      <c r="L1169"/>
      <c r="M1169"/>
      <c r="N1169"/>
    </row>
    <row r="1170" spans="1:14" ht="14.4" hidden="1">
      <c r="A1170" s="245" t="s">
        <v>1627</v>
      </c>
      <c r="B1170"/>
      <c r="C1170"/>
      <c r="D1170"/>
      <c r="E1170"/>
      <c r="F1170" s="250"/>
      <c r="G1170" s="1322">
        <v>0.25</v>
      </c>
      <c r="H1170" s="1323"/>
      <c r="I1170" s="1322">
        <v>0</v>
      </c>
      <c r="J1170" s="1323"/>
      <c r="K1170"/>
      <c r="L1170"/>
      <c r="M1170"/>
      <c r="N1170"/>
    </row>
    <row r="1171" spans="1:14" ht="14.4" hidden="1">
      <c r="A1171" s="245" t="s">
        <v>1628</v>
      </c>
      <c r="B1171"/>
      <c r="C1171"/>
      <c r="D1171"/>
      <c r="E1171"/>
      <c r="F1171" s="250"/>
      <c r="G1171" s="1322">
        <v>0.26</v>
      </c>
      <c r="H1171" s="1323"/>
      <c r="I1171" s="1322">
        <v>0</v>
      </c>
      <c r="J1171" s="1323"/>
      <c r="K1171"/>
      <c r="L1171"/>
      <c r="M1171"/>
      <c r="N1171"/>
    </row>
    <row r="1172" spans="1:14" ht="14.4" hidden="1">
      <c r="A1172" s="245" t="s">
        <v>1629</v>
      </c>
      <c r="B1172"/>
      <c r="C1172"/>
      <c r="D1172"/>
      <c r="E1172"/>
      <c r="F1172" s="250"/>
      <c r="G1172" s="1322">
        <v>0.26</v>
      </c>
      <c r="H1172" s="1323"/>
      <c r="I1172" s="1322">
        <v>0</v>
      </c>
      <c r="J1172" s="1323"/>
      <c r="K1172"/>
      <c r="L1172"/>
      <c r="M1172"/>
      <c r="N1172"/>
    </row>
    <row r="1173" spans="1:14" ht="15.6" hidden="1">
      <c r="A1173" s="245" t="s">
        <v>1630</v>
      </c>
      <c r="B1173"/>
      <c r="C1173"/>
      <c r="D1173"/>
      <c r="E1173"/>
      <c r="F1173" s="250"/>
      <c r="G1173" s="1322">
        <v>0.28999999999999998</v>
      </c>
      <c r="H1173" s="1323"/>
      <c r="I1173" s="1322">
        <v>0</v>
      </c>
      <c r="J1173" s="1323"/>
      <c r="K1173"/>
      <c r="L1173"/>
      <c r="M1173"/>
      <c r="N1173"/>
    </row>
    <row r="1174" spans="1:14" ht="15.6" hidden="1">
      <c r="A1174" s="245" t="s">
        <v>1631</v>
      </c>
      <c r="B1174"/>
      <c r="C1174"/>
      <c r="D1174"/>
      <c r="E1174"/>
      <c r="F1174" s="250"/>
      <c r="G1174" s="1322">
        <v>0.31</v>
      </c>
      <c r="H1174" s="1323"/>
      <c r="I1174" s="1322">
        <v>0</v>
      </c>
      <c r="J1174" s="1323"/>
      <c r="K1174"/>
      <c r="L1174"/>
      <c r="M1174"/>
      <c r="N1174"/>
    </row>
    <row r="1175" spans="1:14" ht="14.4" hidden="1">
      <c r="A1175" s="236" t="s">
        <v>1632</v>
      </c>
      <c r="B1175" s="248"/>
      <c r="C1175" s="248"/>
      <c r="D1175" s="248"/>
      <c r="E1175" s="248"/>
      <c r="F1175" s="251"/>
      <c r="G1175" s="1301">
        <v>0.33</v>
      </c>
      <c r="H1175" s="1302"/>
      <c r="I1175" s="1301">
        <v>0</v>
      </c>
      <c r="J1175" s="1302"/>
      <c r="K1175"/>
      <c r="L1175"/>
      <c r="M1175"/>
      <c r="N1175"/>
    </row>
    <row r="1176" spans="1:14" ht="14.4" hidden="1">
      <c r="A1176"/>
      <c r="B1176"/>
      <c r="C1176"/>
      <c r="D1176"/>
      <c r="E1176"/>
      <c r="F1176"/>
      <c r="G1176"/>
      <c r="H1176"/>
      <c r="I1176"/>
      <c r="J1176"/>
      <c r="K1176"/>
      <c r="L1176"/>
      <c r="M1176"/>
      <c r="N1176"/>
    </row>
    <row r="1177" spans="1:14" ht="15.6" hidden="1">
      <c r="A1177" s="179" t="s">
        <v>1633</v>
      </c>
      <c r="B1177" t="s">
        <v>1634</v>
      </c>
      <c r="C1177"/>
      <c r="D1177"/>
      <c r="E1177"/>
      <c r="F1177"/>
      <c r="G1177"/>
      <c r="H1177"/>
      <c r="I1177"/>
      <c r="J1177"/>
      <c r="K1177"/>
      <c r="L1177"/>
      <c r="M1177"/>
      <c r="N1177"/>
    </row>
    <row r="1178" spans="1:14" ht="14.4" hidden="1">
      <c r="A1178" s="242" t="s">
        <v>1517</v>
      </c>
      <c r="B1178" s="244"/>
      <c r="C1178" s="1325" t="s">
        <v>1583</v>
      </c>
      <c r="D1178" s="1326"/>
      <c r="E1178" s="1325" t="s">
        <v>1490</v>
      </c>
      <c r="F1178" s="1326"/>
      <c r="H1178"/>
      <c r="I1178"/>
      <c r="J1178"/>
      <c r="K1178"/>
      <c r="L1178"/>
      <c r="M1178"/>
      <c r="N1178"/>
    </row>
    <row r="1179" spans="1:14" ht="15.6" hidden="1">
      <c r="A1179" s="236"/>
      <c r="B1179" s="251"/>
      <c r="C1179" s="1301" t="s">
        <v>1584</v>
      </c>
      <c r="D1179" s="1302"/>
      <c r="E1179" s="1301" t="s">
        <v>1585</v>
      </c>
      <c r="F1179" s="1302"/>
      <c r="H1179"/>
      <c r="I1179"/>
      <c r="J1179"/>
      <c r="K1179"/>
      <c r="L1179"/>
      <c r="M1179"/>
      <c r="N1179"/>
    </row>
    <row r="1180" spans="1:14" ht="14.4" hidden="1">
      <c r="A1180" s="233" t="s">
        <v>460</v>
      </c>
      <c r="B1180" s="254"/>
      <c r="C1180" s="256">
        <v>1.1399999999999999</v>
      </c>
      <c r="D1180" s="421"/>
      <c r="E1180" s="256">
        <v>0.4</v>
      </c>
      <c r="F1180" s="421"/>
      <c r="H1180"/>
      <c r="I1180"/>
      <c r="J1180"/>
      <c r="K1180"/>
      <c r="L1180"/>
      <c r="M1180"/>
      <c r="N1180"/>
    </row>
    <row r="1181" spans="1:14" ht="14.4" hidden="1">
      <c r="A1181"/>
      <c r="B1181"/>
      <c r="C1181" s="260"/>
      <c r="D1181" s="260"/>
      <c r="E1181" s="260"/>
      <c r="F1181" s="260"/>
      <c r="H1181"/>
      <c r="I1181"/>
      <c r="J1181"/>
      <c r="K1181"/>
      <c r="L1181"/>
      <c r="M1181"/>
      <c r="N1181"/>
    </row>
    <row r="1182" spans="1:14" ht="15.6" hidden="1">
      <c r="A1182" s="234" t="s">
        <v>1496</v>
      </c>
      <c r="B1182" s="1354" t="s">
        <v>1635</v>
      </c>
      <c r="C1182" s="1355"/>
      <c r="D1182" s="1355"/>
      <c r="E1182" s="1355"/>
      <c r="F1182" s="1356"/>
      <c r="H1182"/>
      <c r="I1182"/>
      <c r="J1182"/>
      <c r="K1182"/>
      <c r="L1182"/>
      <c r="M1182"/>
      <c r="N1182"/>
    </row>
    <row r="1183" spans="1:14" ht="15.6" hidden="1">
      <c r="A1183" s="235" t="s">
        <v>1498</v>
      </c>
      <c r="B1183" s="1304" t="s">
        <v>1636</v>
      </c>
      <c r="C1183" s="1306"/>
      <c r="D1183" s="1306"/>
      <c r="E1183" s="1306"/>
      <c r="F1183" s="1305"/>
      <c r="H1183"/>
      <c r="I1183"/>
      <c r="J1183"/>
      <c r="K1183"/>
      <c r="L1183"/>
      <c r="M1183"/>
      <c r="N1183"/>
    </row>
    <row r="1184" spans="1:14" ht="14.4" hidden="1">
      <c r="A1184" s="238"/>
      <c r="B1184" s="238">
        <v>0.2</v>
      </c>
      <c r="C1184" s="238">
        <v>0.3</v>
      </c>
      <c r="D1184" s="238">
        <v>0.4</v>
      </c>
      <c r="E1184" s="238">
        <v>0.5</v>
      </c>
      <c r="F1184" s="238">
        <v>0.6</v>
      </c>
      <c r="H1184"/>
      <c r="I1184"/>
      <c r="J1184"/>
      <c r="K1184"/>
      <c r="L1184"/>
      <c r="M1184"/>
      <c r="N1184"/>
    </row>
    <row r="1185" spans="1:14" ht="14.4" hidden="1">
      <c r="A1185" s="235">
        <v>100</v>
      </c>
      <c r="B1185" s="235">
        <v>3.1</v>
      </c>
      <c r="C1185" s="235">
        <v>2</v>
      </c>
      <c r="D1185" s="235">
        <v>1.5</v>
      </c>
      <c r="E1185" s="235">
        <v>1.2</v>
      </c>
      <c r="F1185" s="235">
        <v>1</v>
      </c>
      <c r="H1185"/>
      <c r="I1185"/>
      <c r="J1185"/>
      <c r="K1185"/>
      <c r="L1185"/>
      <c r="M1185"/>
      <c r="N1185"/>
    </row>
    <row r="1186" spans="1:14" ht="14.4" hidden="1">
      <c r="A1186" s="235">
        <v>150</v>
      </c>
      <c r="B1186" s="235">
        <v>2.2000000000000002</v>
      </c>
      <c r="C1186" s="235">
        <v>1.5</v>
      </c>
      <c r="D1186" s="235">
        <v>1.1000000000000001</v>
      </c>
      <c r="E1186" s="235">
        <v>0.9</v>
      </c>
      <c r="F1186" s="235">
        <v>0.7</v>
      </c>
      <c r="H1186"/>
      <c r="I1186"/>
      <c r="J1186"/>
      <c r="K1186"/>
      <c r="L1186"/>
      <c r="M1186"/>
      <c r="N1186"/>
    </row>
    <row r="1187" spans="1:14" ht="14.4" hidden="1">
      <c r="A1187" s="235">
        <v>200</v>
      </c>
      <c r="B1187" s="235">
        <v>1.8</v>
      </c>
      <c r="C1187" s="235">
        <v>1.2</v>
      </c>
      <c r="D1187" s="235">
        <v>0.9</v>
      </c>
      <c r="E1187" s="235">
        <v>0.7</v>
      </c>
      <c r="F1187" s="235">
        <v>0.6</v>
      </c>
      <c r="H1187"/>
      <c r="I1187"/>
      <c r="J1187"/>
      <c r="K1187"/>
      <c r="L1187"/>
      <c r="M1187"/>
      <c r="N1187"/>
    </row>
    <row r="1188" spans="1:14" ht="14.4" hidden="1">
      <c r="A1188" s="235">
        <v>300</v>
      </c>
      <c r="B1188" s="235">
        <v>1.3</v>
      </c>
      <c r="C1188" s="235">
        <v>0.9</v>
      </c>
      <c r="D1188" s="235">
        <v>0.7</v>
      </c>
      <c r="E1188" s="235">
        <v>0.5</v>
      </c>
      <c r="F1188" s="235">
        <v>0.4</v>
      </c>
      <c r="H1188"/>
      <c r="I1188"/>
      <c r="J1188"/>
      <c r="K1188"/>
      <c r="L1188"/>
      <c r="M1188"/>
      <c r="N1188"/>
    </row>
    <row r="1189" spans="1:14" ht="14.4" hidden="1">
      <c r="A1189" s="235">
        <v>500</v>
      </c>
      <c r="B1189" s="235">
        <v>1</v>
      </c>
      <c r="C1189" s="235">
        <v>0.6</v>
      </c>
      <c r="D1189" s="235">
        <v>0.5</v>
      </c>
      <c r="E1189" s="235">
        <v>0.4</v>
      </c>
      <c r="F1189" s="235">
        <v>0.3</v>
      </c>
      <c r="H1189"/>
      <c r="I1189"/>
      <c r="J1189"/>
      <c r="K1189"/>
      <c r="L1189"/>
      <c r="M1189"/>
      <c r="N1189"/>
    </row>
    <row r="1190" spans="1:14" ht="14.4" hidden="1">
      <c r="A1190" s="235">
        <v>750</v>
      </c>
      <c r="B1190" s="235">
        <v>0.8</v>
      </c>
      <c r="C1190" s="235">
        <v>0.5</v>
      </c>
      <c r="D1190" s="235">
        <v>0.4</v>
      </c>
      <c r="E1190" s="235">
        <v>0.3</v>
      </c>
      <c r="F1190" s="235">
        <v>0.3</v>
      </c>
      <c r="H1190"/>
      <c r="I1190"/>
      <c r="J1190"/>
      <c r="K1190"/>
      <c r="L1190"/>
      <c r="M1190"/>
      <c r="N1190"/>
    </row>
    <row r="1191" spans="1:14" ht="14.4" hidden="1">
      <c r="A1191" s="239">
        <v>1000</v>
      </c>
      <c r="B1191" s="235">
        <v>0.7</v>
      </c>
      <c r="C1191" s="235">
        <v>0.5</v>
      </c>
      <c r="D1191" s="235">
        <v>0.4</v>
      </c>
      <c r="E1191" s="235">
        <v>0.3</v>
      </c>
      <c r="F1191" s="235">
        <v>0.2</v>
      </c>
      <c r="H1191"/>
      <c r="I1191"/>
      <c r="J1191"/>
      <c r="K1191"/>
      <c r="L1191"/>
      <c r="M1191"/>
      <c r="N1191"/>
    </row>
    <row r="1192" spans="1:14" ht="14.4" hidden="1">
      <c r="A1192" s="239">
        <v>1500</v>
      </c>
      <c r="B1192" s="235">
        <v>0.6</v>
      </c>
      <c r="C1192" s="235">
        <v>0.4</v>
      </c>
      <c r="D1192" s="235">
        <v>0.3</v>
      </c>
      <c r="E1192" s="235">
        <v>0.2</v>
      </c>
      <c r="F1192" s="235">
        <v>0.2</v>
      </c>
      <c r="H1192"/>
      <c r="I1192"/>
      <c r="J1192"/>
      <c r="K1192"/>
      <c r="L1192"/>
      <c r="M1192"/>
      <c r="N1192"/>
    </row>
    <row r="1193" spans="1:14" ht="14.4" hidden="1">
      <c r="A1193" s="239">
        <v>2500</v>
      </c>
      <c r="B1193" s="235">
        <v>0.5</v>
      </c>
      <c r="C1193" s="235">
        <v>0.4</v>
      </c>
      <c r="D1193" s="235">
        <v>0.3</v>
      </c>
      <c r="E1193" s="235">
        <v>0.2</v>
      </c>
      <c r="F1193" s="235">
        <v>0.2</v>
      </c>
      <c r="H1193"/>
      <c r="I1193"/>
      <c r="J1193"/>
      <c r="K1193"/>
      <c r="L1193"/>
      <c r="M1193"/>
      <c r="N1193"/>
    </row>
    <row r="1194" spans="1:14" ht="14.4" hidden="1">
      <c r="A1194" s="239">
        <v>5000</v>
      </c>
      <c r="B1194" s="235">
        <v>0.5</v>
      </c>
      <c r="C1194" s="235">
        <v>0.3</v>
      </c>
      <c r="D1194" s="235">
        <v>0.2</v>
      </c>
      <c r="E1194" s="235">
        <v>0.2</v>
      </c>
      <c r="F1194" s="235">
        <v>0.2</v>
      </c>
      <c r="H1194"/>
      <c r="I1194"/>
      <c r="J1194"/>
      <c r="K1194"/>
      <c r="L1194"/>
      <c r="M1194"/>
      <c r="N1194"/>
    </row>
    <row r="1195" spans="1:14" ht="14.4" hidden="1">
      <c r="A1195" s="240">
        <v>10000</v>
      </c>
      <c r="B1195" s="238">
        <v>0.5</v>
      </c>
      <c r="C1195" s="238">
        <v>0.3</v>
      </c>
      <c r="D1195" s="238">
        <v>0.2</v>
      </c>
      <c r="E1195" s="238">
        <v>0.2</v>
      </c>
      <c r="F1195" s="238">
        <v>0.2</v>
      </c>
      <c r="H1195"/>
      <c r="I1195"/>
      <c r="J1195"/>
      <c r="K1195"/>
      <c r="L1195"/>
      <c r="M1195"/>
      <c r="N1195"/>
    </row>
    <row r="1197" spans="1:14" ht="13.8">
      <c r="A1197" s="65" t="s">
        <v>1965</v>
      </c>
      <c r="B1197" s="66"/>
      <c r="C1197" s="66"/>
      <c r="D1197" s="66"/>
      <c r="E1197" s="66"/>
      <c r="F1197" s="66"/>
      <c r="G1197" s="165"/>
      <c r="H1197" s="66"/>
      <c r="I1197" s="66"/>
      <c r="J1197" s="1"/>
      <c r="K1197" s="122">
        <f>ROW(A1198)</f>
        <v>1198</v>
      </c>
      <c r="L1197" s="122">
        <f>ROW(A1338)</f>
        <v>1338</v>
      </c>
      <c r="M1197" s="122"/>
      <c r="N1197" s="122"/>
    </row>
    <row r="1198" spans="1:14" ht="15.6" hidden="1">
      <c r="A1198" s="179" t="s">
        <v>1969</v>
      </c>
      <c r="B1198" t="s">
        <v>1970</v>
      </c>
      <c r="C1198"/>
      <c r="D1198"/>
      <c r="E1198"/>
      <c r="F1198"/>
      <c r="G1198"/>
      <c r="H1198"/>
    </row>
    <row r="1199" spans="1:14" ht="15.6" hidden="1">
      <c r="A1199" s="242" t="s">
        <v>1517</v>
      </c>
      <c r="B1199" s="244"/>
      <c r="C1199" s="242" t="s">
        <v>1971</v>
      </c>
      <c r="D1199" s="243"/>
      <c r="E1199" s="243"/>
      <c r="F1199" s="244"/>
      <c r="G1199" s="234" t="s">
        <v>1972</v>
      </c>
      <c r="H1199" s="230" t="s">
        <v>1973</v>
      </c>
    </row>
    <row r="1200" spans="1:14" ht="14.4" hidden="1">
      <c r="A1200" s="236"/>
      <c r="B1200" s="251"/>
      <c r="C1200" s="236"/>
      <c r="D1200" s="248"/>
      <c r="E1200" s="248"/>
      <c r="F1200" s="251"/>
      <c r="G1200" s="238" t="s">
        <v>208</v>
      </c>
      <c r="H1200" s="232"/>
    </row>
    <row r="1201" spans="1:11" ht="14.4" hidden="1">
      <c r="A1201" s="242" t="s">
        <v>1974</v>
      </c>
      <c r="B1201" s="244"/>
      <c r="C1201" s="242"/>
      <c r="D1201" s="243"/>
      <c r="E1201" s="243"/>
      <c r="F1201" s="244"/>
      <c r="G1201" s="234"/>
      <c r="H1201" s="230"/>
    </row>
    <row r="1202" spans="1:11" ht="14.4" hidden="1">
      <c r="A1202" s="245" t="s">
        <v>1975</v>
      </c>
      <c r="B1202" s="250"/>
      <c r="C1202" s="245"/>
      <c r="D1202"/>
      <c r="E1202"/>
      <c r="F1202" s="250"/>
      <c r="G1202" s="235"/>
      <c r="H1202" s="231"/>
    </row>
    <row r="1203" spans="1:11" ht="16.2" hidden="1">
      <c r="A1203" s="245" t="s">
        <v>1976</v>
      </c>
      <c r="B1203" s="250"/>
      <c r="C1203" s="245" t="s">
        <v>1977</v>
      </c>
      <c r="D1203"/>
      <c r="E1203"/>
      <c r="F1203" s="250"/>
      <c r="G1203" s="235">
        <v>2.2000000000000002</v>
      </c>
      <c r="H1203" s="425">
        <v>1</v>
      </c>
    </row>
    <row r="1204" spans="1:11" ht="16.2" hidden="1">
      <c r="A1204" s="245" t="s">
        <v>1978</v>
      </c>
      <c r="B1204" s="250"/>
      <c r="C1204" s="245" t="s">
        <v>1979</v>
      </c>
      <c r="D1204"/>
      <c r="E1204"/>
      <c r="F1204" s="250"/>
      <c r="G1204" s="235">
        <v>3.7</v>
      </c>
      <c r="H1204" s="425">
        <v>1</v>
      </c>
    </row>
    <row r="1205" spans="1:11" ht="16.2" hidden="1">
      <c r="A1205" s="245" t="s">
        <v>1980</v>
      </c>
      <c r="B1205" s="250"/>
      <c r="C1205" s="245" t="s">
        <v>1981</v>
      </c>
      <c r="D1205"/>
      <c r="E1205"/>
      <c r="F1205" s="250"/>
      <c r="G1205" s="235">
        <v>8.5</v>
      </c>
      <c r="H1205" s="425">
        <v>1</v>
      </c>
    </row>
    <row r="1206" spans="1:11" ht="16.2" hidden="1">
      <c r="A1206" s="245" t="s">
        <v>1982</v>
      </c>
      <c r="B1206" s="250"/>
      <c r="C1206" s="245" t="s">
        <v>1977</v>
      </c>
      <c r="D1206"/>
      <c r="E1206"/>
      <c r="F1206" s="250"/>
      <c r="G1206" s="235">
        <v>3.3</v>
      </c>
      <c r="H1206" s="425">
        <v>1</v>
      </c>
    </row>
    <row r="1207" spans="1:11" ht="16.2" hidden="1">
      <c r="A1207" s="245" t="s">
        <v>1978</v>
      </c>
      <c r="B1207" s="250"/>
      <c r="C1207" s="245" t="s">
        <v>1979</v>
      </c>
      <c r="D1207"/>
      <c r="E1207"/>
      <c r="F1207" s="250"/>
      <c r="G1207" s="235">
        <v>4.8</v>
      </c>
      <c r="H1207" s="425">
        <v>1</v>
      </c>
    </row>
    <row r="1208" spans="1:11" ht="16.2" hidden="1">
      <c r="A1208" s="236" t="s">
        <v>1983</v>
      </c>
      <c r="B1208" s="251"/>
      <c r="C1208" s="236" t="s">
        <v>1981</v>
      </c>
      <c r="D1208" s="248"/>
      <c r="E1208" s="248"/>
      <c r="F1208" s="251"/>
      <c r="G1208" s="238">
        <v>9.6</v>
      </c>
      <c r="H1208" s="426">
        <v>1</v>
      </c>
    </row>
    <row r="1209" spans="1:11" ht="16.2" hidden="1">
      <c r="A1209" s="242" t="s">
        <v>1974</v>
      </c>
      <c r="B1209" s="244"/>
      <c r="C1209" s="242"/>
      <c r="D1209" s="243"/>
      <c r="E1209" s="243"/>
      <c r="F1209" s="244"/>
      <c r="G1209" s="234">
        <v>0</v>
      </c>
      <c r="H1209" s="427">
        <v>2</v>
      </c>
    </row>
    <row r="1210" spans="1:11" ht="14.4" hidden="1">
      <c r="A1210" s="236" t="s">
        <v>1984</v>
      </c>
      <c r="B1210" s="251"/>
      <c r="C1210" s="236"/>
      <c r="D1210" s="248"/>
      <c r="E1210" s="248"/>
      <c r="F1210" s="251"/>
      <c r="G1210" s="238"/>
      <c r="H1210" s="232"/>
    </row>
    <row r="1211" spans="1:11" ht="12" hidden="1" customHeight="1">
      <c r="A1211" s="428" t="s">
        <v>1985</v>
      </c>
      <c r="B1211"/>
      <c r="C1211"/>
      <c r="D1211"/>
      <c r="E1211"/>
      <c r="F1211"/>
      <c r="G1211"/>
      <c r="H1211"/>
    </row>
    <row r="1212" spans="1:11" ht="12" hidden="1" customHeight="1">
      <c r="A1212" t="s">
        <v>1986</v>
      </c>
      <c r="B1212"/>
      <c r="C1212"/>
      <c r="D1212"/>
      <c r="E1212"/>
      <c r="F1212"/>
      <c r="G1212"/>
      <c r="H1212"/>
    </row>
    <row r="1213" spans="1:11" ht="12" hidden="1" customHeight="1">
      <c r="A1213" s="241" t="s">
        <v>1987</v>
      </c>
      <c r="B1213"/>
      <c r="C1213"/>
      <c r="D1213"/>
      <c r="E1213"/>
      <c r="F1213"/>
      <c r="G1213"/>
      <c r="H1213"/>
    </row>
    <row r="1214" spans="1:11" ht="12" hidden="1" customHeight="1">
      <c r="A1214" s="241"/>
      <c r="B1214"/>
      <c r="C1214"/>
      <c r="D1214"/>
      <c r="E1214"/>
      <c r="F1214"/>
      <c r="G1214"/>
      <c r="H1214"/>
    </row>
    <row r="1215" spans="1:11" ht="12" hidden="1" customHeight="1">
      <c r="A1215" s="179" t="s">
        <v>1988</v>
      </c>
      <c r="B1215" t="s">
        <v>1989</v>
      </c>
      <c r="C1215"/>
      <c r="D1215"/>
      <c r="E1215"/>
      <c r="F1215"/>
      <c r="G1215"/>
      <c r="H1215"/>
      <c r="I1215"/>
      <c r="J1215"/>
      <c r="K1215"/>
    </row>
    <row r="1216" spans="1:11" ht="12" hidden="1" customHeight="1">
      <c r="A1216" s="1304" t="s">
        <v>1990</v>
      </c>
      <c r="B1216" s="1306"/>
      <c r="C1216" s="1306"/>
      <c r="D1216" s="1306"/>
      <c r="E1216" s="1306"/>
      <c r="F1216" s="1306"/>
      <c r="G1216" s="1306"/>
      <c r="H1216" s="1306"/>
      <c r="I1216" s="1306"/>
      <c r="J1216" s="1306"/>
      <c r="K1216" s="1305"/>
    </row>
    <row r="1217" spans="1:11" ht="12" hidden="1" customHeight="1">
      <c r="A1217" s="1331" t="s">
        <v>1991</v>
      </c>
      <c r="B1217" s="1341"/>
      <c r="C1217" s="1341"/>
      <c r="D1217" s="1341"/>
      <c r="E1217" s="1341"/>
      <c r="F1217" s="1332"/>
      <c r="G1217" s="255">
        <v>100</v>
      </c>
      <c r="H1217" s="255">
        <v>150</v>
      </c>
      <c r="I1217" s="255">
        <v>200</v>
      </c>
      <c r="J1217" s="255">
        <v>300</v>
      </c>
      <c r="K1217" s="255">
        <v>500</v>
      </c>
    </row>
    <row r="1218" spans="1:11" ht="12" hidden="1" customHeight="1">
      <c r="A1218" s="242" t="s">
        <v>1992</v>
      </c>
      <c r="B1218" s="243"/>
      <c r="C1218" s="244"/>
      <c r="D1218" s="429" t="s">
        <v>1993</v>
      </c>
      <c r="E1218" s="243"/>
      <c r="F1218" s="244"/>
      <c r="G1218" s="234">
        <v>4.8</v>
      </c>
      <c r="H1218" s="234">
        <v>3.5</v>
      </c>
      <c r="I1218" s="234">
        <v>2.9</v>
      </c>
      <c r="J1218" s="234">
        <v>2.2000000000000002</v>
      </c>
      <c r="K1218" s="234">
        <v>1.7</v>
      </c>
    </row>
    <row r="1219" spans="1:11" ht="12" hidden="1" customHeight="1">
      <c r="A1219" s="236" t="s">
        <v>1994</v>
      </c>
      <c r="B1219" s="248"/>
      <c r="C1219" s="251"/>
      <c r="D1219" s="430" t="s">
        <v>1995</v>
      </c>
      <c r="E1219" s="248"/>
      <c r="F1219" s="251"/>
      <c r="G1219" s="238">
        <v>5.6</v>
      </c>
      <c r="H1219" s="238">
        <v>4.0999999999999996</v>
      </c>
      <c r="I1219" s="238">
        <v>3.4</v>
      </c>
      <c r="J1219" s="238">
        <v>2.6</v>
      </c>
      <c r="K1219" s="238">
        <v>2</v>
      </c>
    </row>
    <row r="1220" spans="1:11" ht="12" hidden="1" customHeight="1">
      <c r="A1220" s="242" t="s">
        <v>1996</v>
      </c>
      <c r="B1220" s="243"/>
      <c r="C1220" s="244"/>
      <c r="D1220" s="242" t="s">
        <v>1997</v>
      </c>
      <c r="E1220" s="243"/>
      <c r="F1220" s="244"/>
      <c r="G1220" s="234">
        <v>9</v>
      </c>
      <c r="H1220" s="234">
        <v>6.7</v>
      </c>
      <c r="I1220" s="234">
        <v>5.6</v>
      </c>
      <c r="J1220" s="234">
        <v>4.4000000000000004</v>
      </c>
      <c r="K1220" s="234">
        <v>3.5</v>
      </c>
    </row>
    <row r="1221" spans="1:11" ht="12" hidden="1" customHeight="1">
      <c r="A1221" s="245" t="s">
        <v>1998</v>
      </c>
      <c r="B1221"/>
      <c r="C1221" s="250"/>
      <c r="D1221" s="431" t="s">
        <v>1999</v>
      </c>
      <c r="E1221"/>
      <c r="F1221" s="250"/>
      <c r="G1221" s="235">
        <v>10.199999999999999</v>
      </c>
      <c r="H1221" s="235">
        <v>7.6</v>
      </c>
      <c r="I1221" s="235">
        <v>6.3</v>
      </c>
      <c r="J1221" s="235">
        <v>5</v>
      </c>
      <c r="K1221" s="235">
        <v>4</v>
      </c>
    </row>
    <row r="1222" spans="1:11" ht="12" hidden="1" customHeight="1">
      <c r="A1222" s="236" t="s">
        <v>2000</v>
      </c>
      <c r="B1222" s="248"/>
      <c r="C1222" s="251"/>
      <c r="D1222" s="430" t="s">
        <v>2001</v>
      </c>
      <c r="E1222" s="248"/>
      <c r="F1222" s="251"/>
      <c r="G1222" s="238">
        <v>9.9</v>
      </c>
      <c r="H1222" s="238">
        <v>7.4</v>
      </c>
      <c r="I1222" s="238">
        <v>6.1</v>
      </c>
      <c r="J1222" s="238">
        <v>4.9000000000000004</v>
      </c>
      <c r="K1222" s="238">
        <v>3.9</v>
      </c>
    </row>
    <row r="1223" spans="1:11" ht="12" hidden="1" customHeight="1">
      <c r="A1223" s="242" t="s">
        <v>2002</v>
      </c>
      <c r="B1223" s="243"/>
      <c r="C1223" s="244"/>
      <c r="D1223" s="242" t="s">
        <v>2003</v>
      </c>
      <c r="E1223" s="243"/>
      <c r="F1223" s="244"/>
      <c r="G1223" s="234">
        <v>9.1999999999999993</v>
      </c>
      <c r="H1223" s="234">
        <v>6.8</v>
      </c>
      <c r="I1223" s="234">
        <v>5.6</v>
      </c>
      <c r="J1223" s="234">
        <v>4.5</v>
      </c>
      <c r="K1223" s="234">
        <v>3.5</v>
      </c>
    </row>
    <row r="1224" spans="1:11" ht="12" hidden="1" customHeight="1">
      <c r="A1224" s="236" t="s">
        <v>2004</v>
      </c>
      <c r="B1224" s="248"/>
      <c r="C1224" s="251"/>
      <c r="D1224" s="236" t="s">
        <v>2005</v>
      </c>
      <c r="E1224" s="248"/>
      <c r="F1224" s="251"/>
      <c r="G1224" s="238">
        <v>11</v>
      </c>
      <c r="H1224" s="238">
        <v>8.1999999999999993</v>
      </c>
      <c r="I1224" s="238">
        <v>6.9</v>
      </c>
      <c r="J1224" s="238">
        <v>5.5</v>
      </c>
      <c r="K1224" s="238">
        <v>4.4000000000000004</v>
      </c>
    </row>
    <row r="1225" spans="1:11" ht="12" hidden="1" customHeight="1">
      <c r="A1225" s="1304" t="s">
        <v>2006</v>
      </c>
      <c r="B1225" s="1306"/>
      <c r="C1225" s="1306"/>
      <c r="D1225" s="1306"/>
      <c r="E1225" s="1306"/>
      <c r="F1225" s="1306"/>
      <c r="G1225" s="1306"/>
      <c r="H1225" s="1306"/>
      <c r="I1225" s="1306"/>
      <c r="J1225" s="1306"/>
      <c r="K1225" s="1305"/>
    </row>
    <row r="1226" spans="1:11" ht="12" hidden="1" customHeight="1">
      <c r="A1226" s="1331" t="s">
        <v>1991</v>
      </c>
      <c r="B1226" s="1341"/>
      <c r="C1226" s="1341"/>
      <c r="D1226" s="1341"/>
      <c r="E1226" s="1341"/>
      <c r="F1226" s="1332"/>
      <c r="G1226" s="255">
        <v>100</v>
      </c>
      <c r="H1226" s="255">
        <v>150</v>
      </c>
      <c r="I1226" s="255">
        <v>200</v>
      </c>
      <c r="J1226" s="255">
        <v>300</v>
      </c>
      <c r="K1226" s="255">
        <v>500</v>
      </c>
    </row>
    <row r="1227" spans="1:11" ht="12" hidden="1" customHeight="1">
      <c r="A1227" s="242" t="s">
        <v>1992</v>
      </c>
      <c r="B1227" s="243"/>
      <c r="C1227" s="244"/>
      <c r="D1227" s="429" t="s">
        <v>1993</v>
      </c>
      <c r="E1227" s="243"/>
      <c r="F1227" s="244"/>
      <c r="G1227" s="234">
        <v>1.4</v>
      </c>
      <c r="H1227" s="234">
        <v>1</v>
      </c>
      <c r="I1227" s="234">
        <v>0.8</v>
      </c>
      <c r="J1227" s="234">
        <v>0.7</v>
      </c>
      <c r="K1227" s="234">
        <v>0.5</v>
      </c>
    </row>
    <row r="1228" spans="1:11" ht="12" hidden="1" customHeight="1">
      <c r="A1228" s="236" t="s">
        <v>1994</v>
      </c>
      <c r="B1228" s="248"/>
      <c r="C1228" s="251"/>
      <c r="D1228" s="430" t="s">
        <v>1995</v>
      </c>
      <c r="E1228" s="248"/>
      <c r="F1228" s="251"/>
      <c r="G1228" s="238">
        <v>202</v>
      </c>
      <c r="H1228" s="238">
        <v>1.6</v>
      </c>
      <c r="I1228" s="238">
        <v>1.3</v>
      </c>
      <c r="J1228" s="238">
        <v>1</v>
      </c>
      <c r="K1228" s="238">
        <v>0.8</v>
      </c>
    </row>
    <row r="1229" spans="1:11" ht="12" hidden="1" customHeight="1">
      <c r="A1229" s="242" t="s">
        <v>1996</v>
      </c>
      <c r="B1229" s="243"/>
      <c r="C1229" s="244"/>
      <c r="D1229" s="242" t="s">
        <v>1997</v>
      </c>
      <c r="E1229" s="243"/>
      <c r="F1229" s="244"/>
      <c r="G1229" s="234">
        <v>5.2</v>
      </c>
      <c r="H1229" s="234">
        <v>3.7</v>
      </c>
      <c r="I1229" s="234">
        <v>3</v>
      </c>
      <c r="J1229" s="234">
        <v>2.2999999999999998</v>
      </c>
      <c r="K1229" s="234">
        <v>1.7</v>
      </c>
    </row>
    <row r="1230" spans="1:11" ht="12" hidden="1" customHeight="1">
      <c r="A1230" s="245" t="s">
        <v>1998</v>
      </c>
      <c r="B1230"/>
      <c r="C1230" s="250"/>
      <c r="D1230" s="431" t="s">
        <v>1999</v>
      </c>
      <c r="E1230"/>
      <c r="F1230" s="250"/>
      <c r="G1230" s="235">
        <v>6.7</v>
      </c>
      <c r="H1230" s="235">
        <v>5.0999999999999996</v>
      </c>
      <c r="I1230" s="235">
        <v>4.3</v>
      </c>
      <c r="J1230" s="235">
        <v>3.5</v>
      </c>
      <c r="K1230" s="235">
        <v>2.8</v>
      </c>
    </row>
    <row r="1231" spans="1:11" ht="12" hidden="1" customHeight="1">
      <c r="A1231" s="236" t="s">
        <v>2000</v>
      </c>
      <c r="B1231" s="248"/>
      <c r="C1231" s="251"/>
      <c r="D1231" s="430" t="s">
        <v>2001</v>
      </c>
      <c r="E1231" s="248"/>
      <c r="F1231" s="251"/>
      <c r="G1231" s="238">
        <v>6.4</v>
      </c>
      <c r="H1231" s="238">
        <v>4.9000000000000004</v>
      </c>
      <c r="I1231" s="238">
        <v>4.0999999999999996</v>
      </c>
      <c r="J1231" s="238">
        <v>3.3</v>
      </c>
      <c r="K1231" s="238">
        <v>2.7</v>
      </c>
    </row>
    <row r="1232" spans="1:11" ht="12" hidden="1" customHeight="1">
      <c r="A1232" s="242" t="s">
        <v>2002</v>
      </c>
      <c r="B1232" s="243"/>
      <c r="C1232" s="244"/>
      <c r="D1232" s="242" t="s">
        <v>2003</v>
      </c>
      <c r="E1232" s="243"/>
      <c r="F1232" s="244"/>
      <c r="G1232" s="234">
        <v>5.7</v>
      </c>
      <c r="H1232" s="234">
        <v>4.3</v>
      </c>
      <c r="I1232" s="234">
        <v>3.6</v>
      </c>
      <c r="J1232" s="234">
        <v>2.9</v>
      </c>
      <c r="K1232" s="234">
        <v>2.2999999999999998</v>
      </c>
    </row>
    <row r="1233" spans="1:11" ht="12" hidden="1" customHeight="1">
      <c r="A1233" s="236" t="s">
        <v>2004</v>
      </c>
      <c r="B1233" s="248"/>
      <c r="C1233" s="251"/>
      <c r="D1233" s="236" t="s">
        <v>2005</v>
      </c>
      <c r="E1233" s="248"/>
      <c r="F1233" s="251"/>
      <c r="G1233" s="238">
        <v>7.5</v>
      </c>
      <c r="H1233" s="238">
        <v>5.7</v>
      </c>
      <c r="I1233" s="238">
        <v>4.8</v>
      </c>
      <c r="J1233" s="238">
        <v>3.9</v>
      </c>
      <c r="K1233" s="238">
        <v>3.2</v>
      </c>
    </row>
    <row r="1234" spans="1:11" ht="12" hidden="1" customHeight="1">
      <c r="A1234" s="1304" t="s">
        <v>2007</v>
      </c>
      <c r="B1234" s="1306"/>
      <c r="C1234" s="1306"/>
      <c r="D1234" s="1306"/>
      <c r="E1234" s="1306"/>
      <c r="F1234" s="1306"/>
      <c r="G1234" s="1306"/>
      <c r="H1234" s="1306"/>
      <c r="I1234" s="1306"/>
      <c r="J1234" s="1306"/>
      <c r="K1234" s="1305"/>
    </row>
    <row r="1235" spans="1:11" ht="12" hidden="1" customHeight="1">
      <c r="A1235" s="1331" t="s">
        <v>1991</v>
      </c>
      <c r="B1235" s="1341"/>
      <c r="C1235" s="1341"/>
      <c r="D1235" s="1341"/>
      <c r="E1235" s="1341"/>
      <c r="F1235" s="1332"/>
      <c r="G1235" s="255">
        <v>100</v>
      </c>
      <c r="H1235" s="255">
        <v>150</v>
      </c>
      <c r="I1235" s="255">
        <v>200</v>
      </c>
      <c r="J1235" s="255">
        <v>300</v>
      </c>
      <c r="K1235" s="255">
        <v>500</v>
      </c>
    </row>
    <row r="1236" spans="1:11" ht="12" hidden="1" customHeight="1">
      <c r="A1236" s="242" t="s">
        <v>1992</v>
      </c>
      <c r="B1236" s="243"/>
      <c r="C1236" s="244"/>
      <c r="D1236" s="429" t="s">
        <v>1993</v>
      </c>
      <c r="E1236" s="243"/>
      <c r="F1236" s="244"/>
      <c r="G1236" s="234">
        <v>0</v>
      </c>
      <c r="H1236" s="234">
        <v>0</v>
      </c>
      <c r="I1236" s="234">
        <v>0</v>
      </c>
      <c r="J1236" s="234">
        <v>0</v>
      </c>
      <c r="K1236" s="234">
        <v>0</v>
      </c>
    </row>
    <row r="1237" spans="1:11" ht="12" hidden="1" customHeight="1">
      <c r="A1237" s="236" t="s">
        <v>1994</v>
      </c>
      <c r="B1237" s="248"/>
      <c r="C1237" s="251"/>
      <c r="D1237" s="430" t="s">
        <v>1995</v>
      </c>
      <c r="E1237" s="248"/>
      <c r="F1237" s="251"/>
      <c r="G1237" s="238">
        <v>0</v>
      </c>
      <c r="H1237" s="238">
        <v>0</v>
      </c>
      <c r="I1237" s="238">
        <v>0</v>
      </c>
      <c r="J1237" s="238">
        <v>0</v>
      </c>
      <c r="K1237" s="238">
        <v>0</v>
      </c>
    </row>
    <row r="1238" spans="1:11" ht="12" hidden="1" customHeight="1">
      <c r="A1238" s="242" t="s">
        <v>1996</v>
      </c>
      <c r="B1238" s="243"/>
      <c r="C1238" s="244"/>
      <c r="D1238" s="242" t="s">
        <v>1997</v>
      </c>
      <c r="E1238" s="243"/>
      <c r="F1238" s="244"/>
      <c r="G1238" s="234">
        <v>1.1000000000000001</v>
      </c>
      <c r="H1238" s="234">
        <v>1</v>
      </c>
      <c r="I1238" s="234">
        <v>0.9</v>
      </c>
      <c r="J1238" s="234">
        <v>0.8</v>
      </c>
      <c r="K1238" s="234">
        <v>0.7</v>
      </c>
    </row>
    <row r="1239" spans="1:11" ht="12" hidden="1" customHeight="1">
      <c r="A1239" s="245" t="s">
        <v>1998</v>
      </c>
      <c r="B1239"/>
      <c r="C1239" s="250"/>
      <c r="D1239" s="431" t="s">
        <v>1999</v>
      </c>
      <c r="E1239"/>
      <c r="F1239" s="250"/>
      <c r="G1239" s="235">
        <v>1.6</v>
      </c>
      <c r="H1239" s="235">
        <v>1.4</v>
      </c>
      <c r="I1239" s="235">
        <v>1.3</v>
      </c>
      <c r="J1239" s="235">
        <v>1.1000000000000001</v>
      </c>
      <c r="K1239" s="235">
        <v>1</v>
      </c>
    </row>
    <row r="1240" spans="1:11" ht="12" hidden="1" customHeight="1">
      <c r="A1240" s="236" t="s">
        <v>2000</v>
      </c>
      <c r="B1240" s="248"/>
      <c r="C1240" s="251"/>
      <c r="D1240" s="430" t="s">
        <v>2001</v>
      </c>
      <c r="E1240" s="248"/>
      <c r="F1240" s="251"/>
      <c r="G1240" s="238">
        <v>1.5</v>
      </c>
      <c r="H1240" s="238">
        <v>1.3</v>
      </c>
      <c r="I1240" s="238">
        <v>1.2</v>
      </c>
      <c r="J1240" s="238">
        <v>1</v>
      </c>
      <c r="K1240" s="238">
        <v>1</v>
      </c>
    </row>
    <row r="1241" spans="1:11" ht="12" hidden="1" customHeight="1">
      <c r="A1241" s="242" t="s">
        <v>2002</v>
      </c>
      <c r="B1241" s="243"/>
      <c r="C1241" s="244"/>
      <c r="D1241" s="242" t="s">
        <v>2003</v>
      </c>
      <c r="E1241" s="243"/>
      <c r="F1241" s="244"/>
      <c r="G1241" s="234">
        <v>1.2</v>
      </c>
      <c r="H1241" s="234">
        <v>1</v>
      </c>
      <c r="I1241" s="234">
        <v>0.9</v>
      </c>
      <c r="J1241" s="234">
        <v>0.8</v>
      </c>
      <c r="K1241" s="234">
        <v>0.8</v>
      </c>
    </row>
    <row r="1242" spans="1:11" ht="12" hidden="1" customHeight="1">
      <c r="A1242" s="236" t="s">
        <v>2004</v>
      </c>
      <c r="B1242" s="248"/>
      <c r="C1242" s="251"/>
      <c r="D1242" s="236" t="s">
        <v>2005</v>
      </c>
      <c r="E1242" s="248"/>
      <c r="F1242" s="251"/>
      <c r="G1242" s="238">
        <v>2</v>
      </c>
      <c r="H1242" s="238">
        <v>1.7</v>
      </c>
      <c r="I1242" s="238">
        <v>1.5</v>
      </c>
      <c r="J1242" s="238">
        <v>1.4</v>
      </c>
      <c r="K1242" s="238">
        <v>1.3</v>
      </c>
    </row>
    <row r="1243" spans="1:11" ht="12" hidden="1" customHeight="1">
      <c r="A1243" s="241"/>
      <c r="B1243"/>
      <c r="C1243"/>
      <c r="D1243"/>
      <c r="E1243"/>
      <c r="F1243"/>
      <c r="G1243"/>
      <c r="H1243"/>
    </row>
    <row r="1244" spans="1:11" ht="12" hidden="1" customHeight="1">
      <c r="A1244" s="179" t="s">
        <v>2008</v>
      </c>
      <c r="B1244" t="s">
        <v>2009</v>
      </c>
      <c r="C1244"/>
      <c r="D1244"/>
      <c r="E1244"/>
      <c r="F1244"/>
      <c r="G1244"/>
      <c r="H1244"/>
      <c r="I1244"/>
      <c r="J1244"/>
      <c r="K1244"/>
    </row>
    <row r="1245" spans="1:11" ht="12" hidden="1" customHeight="1">
      <c r="A1245" s="242"/>
      <c r="B1245" s="243"/>
      <c r="C1245" s="243"/>
      <c r="D1245" s="244"/>
      <c r="E1245" s="1304" t="s">
        <v>2010</v>
      </c>
      <c r="F1245" s="1306"/>
      <c r="G1245" s="1306"/>
      <c r="H1245" s="1306"/>
      <c r="I1245" s="1306"/>
      <c r="J1245" s="1306"/>
      <c r="K1245" s="1305"/>
    </row>
    <row r="1246" spans="1:11" ht="12" hidden="1" customHeight="1">
      <c r="A1246" s="236"/>
      <c r="B1246" s="248"/>
      <c r="C1246" s="248"/>
      <c r="D1246" s="251"/>
      <c r="E1246" s="255">
        <v>0.4</v>
      </c>
      <c r="F1246" s="255">
        <v>0.5</v>
      </c>
      <c r="G1246" s="255">
        <v>0.6</v>
      </c>
      <c r="H1246" s="255">
        <v>0.7</v>
      </c>
      <c r="I1246" s="255">
        <v>0.8</v>
      </c>
      <c r="J1246" s="255">
        <v>0.9</v>
      </c>
      <c r="K1246" s="255">
        <v>1</v>
      </c>
    </row>
    <row r="1247" spans="1:11" ht="12" hidden="1" customHeight="1">
      <c r="A1247" s="242" t="s">
        <v>2011</v>
      </c>
      <c r="B1247" s="244"/>
      <c r="C1247" s="242" t="s">
        <v>2012</v>
      </c>
      <c r="D1247" s="244"/>
      <c r="E1247" s="235">
        <v>13.5</v>
      </c>
      <c r="F1247" s="235">
        <v>16.899999999999999</v>
      </c>
      <c r="G1247" s="235">
        <v>20.2</v>
      </c>
      <c r="H1247" s="235">
        <v>23.6</v>
      </c>
      <c r="I1247" s="235">
        <v>27</v>
      </c>
      <c r="J1247" s="235">
        <v>30.3</v>
      </c>
      <c r="K1247" s="235">
        <v>33.700000000000003</v>
      </c>
    </row>
    <row r="1248" spans="1:11" ht="12" hidden="1" customHeight="1">
      <c r="A1248" s="236" t="s">
        <v>2013</v>
      </c>
      <c r="B1248" s="251"/>
      <c r="C1248" s="236" t="s">
        <v>2012</v>
      </c>
      <c r="D1248" s="251"/>
      <c r="E1248" s="238">
        <v>17.2</v>
      </c>
      <c r="F1248" s="238">
        <v>21.5</v>
      </c>
      <c r="G1248" s="238">
        <v>25.8</v>
      </c>
      <c r="H1248" s="238">
        <v>30.1</v>
      </c>
      <c r="I1248" s="238">
        <v>34.5</v>
      </c>
      <c r="J1248" s="238">
        <v>38.799999999999997</v>
      </c>
      <c r="K1248" s="238">
        <v>43.1</v>
      </c>
    </row>
    <row r="1249" spans="1:14" ht="12" hidden="1" customHeight="1">
      <c r="A1249" s="241"/>
      <c r="B1249"/>
      <c r="C1249"/>
      <c r="D1249"/>
      <c r="E1249"/>
      <c r="F1249"/>
      <c r="G1249"/>
      <c r="H1249"/>
    </row>
    <row r="1250" spans="1:14" ht="12" hidden="1" customHeight="1">
      <c r="A1250" s="179" t="s">
        <v>2014</v>
      </c>
      <c r="B1250" t="s">
        <v>2015</v>
      </c>
      <c r="C1250"/>
      <c r="D1250"/>
      <c r="E1250"/>
      <c r="F1250"/>
      <c r="G1250"/>
      <c r="H1250"/>
      <c r="I1250"/>
      <c r="J1250"/>
      <c r="K1250"/>
      <c r="L1250"/>
      <c r="M1250"/>
      <c r="N1250"/>
    </row>
    <row r="1251" spans="1:14" ht="12" hidden="1" customHeight="1">
      <c r="A1251" s="242"/>
      <c r="B1251" s="243"/>
      <c r="C1251" s="243"/>
      <c r="D1251" s="243"/>
      <c r="E1251" s="243"/>
      <c r="F1251" s="243"/>
      <c r="G1251" s="244"/>
      <c r="H1251" s="1304" t="s">
        <v>2010</v>
      </c>
      <c r="I1251" s="1306"/>
      <c r="J1251" s="1306"/>
      <c r="K1251" s="1306"/>
      <c r="L1251" s="1306"/>
      <c r="M1251" s="1306"/>
      <c r="N1251" s="1305"/>
    </row>
    <row r="1252" spans="1:14" ht="12" hidden="1" customHeight="1">
      <c r="A1252" s="245"/>
      <c r="B1252"/>
      <c r="C1252"/>
      <c r="D1252"/>
      <c r="E1252"/>
      <c r="F1252" s="248"/>
      <c r="G1252" s="251"/>
      <c r="H1252" s="255">
        <v>0.4</v>
      </c>
      <c r="I1252" s="255">
        <v>0.5</v>
      </c>
      <c r="J1252" s="255">
        <v>0.6</v>
      </c>
      <c r="K1252" s="255">
        <v>0.7</v>
      </c>
      <c r="L1252" s="255">
        <v>0.8</v>
      </c>
      <c r="M1252" s="255">
        <v>0.9</v>
      </c>
      <c r="N1252" s="255">
        <v>1</v>
      </c>
    </row>
    <row r="1253" spans="1:14" ht="12" hidden="1" customHeight="1">
      <c r="A1253" s="432" t="s">
        <v>2016</v>
      </c>
      <c r="B1253" s="243"/>
      <c r="C1253" s="243"/>
      <c r="D1253" s="243"/>
      <c r="E1253" s="244"/>
      <c r="F1253" s="242" t="s">
        <v>2017</v>
      </c>
      <c r="G1253" s="244"/>
      <c r="H1253" s="234">
        <v>2.2000000000000002</v>
      </c>
      <c r="I1253" s="234">
        <v>2.7</v>
      </c>
      <c r="J1253" s="234">
        <v>3.3</v>
      </c>
      <c r="K1253" s="234">
        <v>3.8</v>
      </c>
      <c r="L1253" s="234">
        <v>4.4000000000000004</v>
      </c>
      <c r="M1253" s="234">
        <v>4.9000000000000004</v>
      </c>
      <c r="N1253" s="234">
        <v>5.4</v>
      </c>
    </row>
    <row r="1254" spans="1:14" ht="12" hidden="1" customHeight="1">
      <c r="A1254" s="433" t="s">
        <v>2018</v>
      </c>
      <c r="B1254"/>
      <c r="C1254"/>
      <c r="D1254"/>
      <c r="E1254" s="434"/>
      <c r="F1254" s="245" t="s">
        <v>2017</v>
      </c>
      <c r="G1254" s="250"/>
      <c r="H1254" s="235">
        <v>1.7</v>
      </c>
      <c r="I1254" s="235">
        <v>2.2000000000000002</v>
      </c>
      <c r="J1254" s="235">
        <v>2.6</v>
      </c>
      <c r="K1254" s="235">
        <v>3</v>
      </c>
      <c r="L1254" s="235">
        <v>3.5</v>
      </c>
      <c r="M1254" s="235">
        <v>3.9</v>
      </c>
      <c r="N1254" s="235">
        <v>4.3</v>
      </c>
    </row>
    <row r="1255" spans="1:14" ht="12" hidden="1" customHeight="1">
      <c r="A1255" s="433" t="s">
        <v>2019</v>
      </c>
      <c r="B1255"/>
      <c r="C1255"/>
      <c r="D1255"/>
      <c r="E1255" s="434"/>
      <c r="F1255" s="245" t="s">
        <v>2017</v>
      </c>
      <c r="G1255" s="250"/>
      <c r="H1255" s="235">
        <v>2.6</v>
      </c>
      <c r="I1255" s="235">
        <v>3.3</v>
      </c>
      <c r="J1255" s="235">
        <v>3.9</v>
      </c>
      <c r="K1255" s="235">
        <v>4.5999999999999996</v>
      </c>
      <c r="L1255" s="235">
        <v>5.2</v>
      </c>
      <c r="M1255" s="235">
        <v>5.9</v>
      </c>
      <c r="N1255" s="235">
        <v>6.6</v>
      </c>
    </row>
    <row r="1256" spans="1:14" ht="12" hidden="1" customHeight="1">
      <c r="A1256" s="433" t="s">
        <v>2020</v>
      </c>
      <c r="B1256"/>
      <c r="C1256"/>
      <c r="D1256"/>
      <c r="E1256" s="250"/>
      <c r="F1256" s="245" t="s">
        <v>2017</v>
      </c>
      <c r="G1256" s="250"/>
      <c r="H1256" s="235">
        <v>2.6</v>
      </c>
      <c r="I1256" s="235">
        <v>3.3</v>
      </c>
      <c r="J1256" s="235">
        <v>3.9</v>
      </c>
      <c r="K1256" s="235">
        <v>4.5999999999999996</v>
      </c>
      <c r="L1256" s="235">
        <v>5.2</v>
      </c>
      <c r="M1256" s="235">
        <v>5.9</v>
      </c>
      <c r="N1256" s="235">
        <v>6.5</v>
      </c>
    </row>
    <row r="1257" spans="1:14" ht="12" hidden="1" customHeight="1">
      <c r="A1257" s="433" t="s">
        <v>2021</v>
      </c>
      <c r="B1257"/>
      <c r="C1257"/>
      <c r="D1257"/>
      <c r="E1257" s="250"/>
      <c r="F1257" s="245" t="s">
        <v>2017</v>
      </c>
      <c r="G1257" s="250"/>
      <c r="H1257" s="235">
        <v>2.2999999999999998</v>
      </c>
      <c r="I1257" s="235">
        <v>2.8</v>
      </c>
      <c r="J1257" s="235">
        <v>3.4</v>
      </c>
      <c r="K1257" s="235">
        <v>4</v>
      </c>
      <c r="L1257" s="235">
        <v>4.5</v>
      </c>
      <c r="M1257" s="235">
        <v>5.0999999999999996</v>
      </c>
      <c r="N1257" s="235">
        <v>5.7</v>
      </c>
    </row>
    <row r="1258" spans="1:14" ht="12" hidden="1" customHeight="1">
      <c r="A1258" s="433" t="s">
        <v>2022</v>
      </c>
      <c r="B1258"/>
      <c r="C1258"/>
      <c r="D1258"/>
      <c r="E1258" s="250"/>
      <c r="F1258" s="245" t="s">
        <v>2017</v>
      </c>
      <c r="G1258" s="250"/>
      <c r="H1258" s="235">
        <v>2.6</v>
      </c>
      <c r="I1258" s="235">
        <v>3.2</v>
      </c>
      <c r="J1258" s="235">
        <v>3.9</v>
      </c>
      <c r="K1258" s="235">
        <v>4.5</v>
      </c>
      <c r="L1258" s="235">
        <v>5.2</v>
      </c>
      <c r="M1258" s="235">
        <v>5.8</v>
      </c>
      <c r="N1258" s="235">
        <v>6.4</v>
      </c>
    </row>
    <row r="1259" spans="1:14" ht="12" hidden="1" customHeight="1">
      <c r="A1259" s="433" t="s">
        <v>2023</v>
      </c>
      <c r="B1259"/>
      <c r="C1259"/>
      <c r="D1259"/>
      <c r="E1259" s="250"/>
      <c r="F1259" s="245" t="s">
        <v>2017</v>
      </c>
      <c r="G1259" s="250"/>
      <c r="H1259" s="235">
        <v>2.2000000000000002</v>
      </c>
      <c r="I1259" s="235">
        <v>2.8</v>
      </c>
      <c r="J1259" s="235">
        <v>3.3</v>
      </c>
      <c r="K1259" s="235">
        <v>3.9</v>
      </c>
      <c r="L1259" s="235">
        <v>4.4000000000000004</v>
      </c>
      <c r="M1259" s="235">
        <v>5</v>
      </c>
      <c r="N1259" s="235">
        <v>5.6</v>
      </c>
    </row>
    <row r="1260" spans="1:14" ht="12" hidden="1" customHeight="1">
      <c r="A1260" s="435" t="s">
        <v>2024</v>
      </c>
      <c r="B1260" s="248"/>
      <c r="C1260" s="248"/>
      <c r="D1260" s="248"/>
      <c r="E1260" s="251"/>
      <c r="F1260" s="236" t="s">
        <v>2017</v>
      </c>
      <c r="G1260" s="251"/>
      <c r="H1260" s="238">
        <v>3.8</v>
      </c>
      <c r="I1260" s="238">
        <v>4.8</v>
      </c>
      <c r="J1260" s="238">
        <v>5.7</v>
      </c>
      <c r="K1260" s="238">
        <v>6.7</v>
      </c>
      <c r="L1260" s="238">
        <v>7.6</v>
      </c>
      <c r="M1260" s="238">
        <v>8.6</v>
      </c>
      <c r="N1260" s="238">
        <v>9.5</v>
      </c>
    </row>
    <row r="1261" spans="1:14" ht="12" hidden="1" customHeight="1">
      <c r="A1261"/>
      <c r="B1261"/>
      <c r="C1261"/>
      <c r="D1261"/>
      <c r="E1261"/>
      <c r="F1261"/>
      <c r="G1261"/>
      <c r="H1261"/>
      <c r="I1261"/>
      <c r="J1261"/>
      <c r="K1261"/>
      <c r="L1261"/>
      <c r="M1261"/>
      <c r="N1261"/>
    </row>
    <row r="1262" spans="1:14" ht="12" hidden="1" customHeight="1">
      <c r="A1262" s="179" t="s">
        <v>2025</v>
      </c>
      <c r="B1262" t="s">
        <v>2026</v>
      </c>
      <c r="C1262"/>
      <c r="D1262"/>
      <c r="E1262"/>
      <c r="F1262"/>
      <c r="G1262"/>
      <c r="H1262"/>
      <c r="I1262"/>
      <c r="J1262"/>
      <c r="K1262"/>
      <c r="L1262"/>
      <c r="M1262"/>
      <c r="N1262"/>
    </row>
    <row r="1263" spans="1:14" ht="12" hidden="1" customHeight="1">
      <c r="A1263" s="242"/>
      <c r="B1263" s="243"/>
      <c r="C1263" s="243"/>
      <c r="D1263" s="243"/>
      <c r="E1263" s="243"/>
      <c r="F1263" s="244"/>
      <c r="G1263" s="1304" t="s">
        <v>2010</v>
      </c>
      <c r="H1263" s="1306"/>
      <c r="I1263" s="1306"/>
      <c r="J1263" s="1306"/>
      <c r="K1263" s="1306"/>
      <c r="L1263" s="1306"/>
      <c r="M1263" s="1305"/>
      <c r="N1263"/>
    </row>
    <row r="1264" spans="1:14" ht="12" hidden="1" customHeight="1">
      <c r="A1264" s="236"/>
      <c r="B1264" s="248"/>
      <c r="C1264" s="248"/>
      <c r="D1264" s="248"/>
      <c r="E1264"/>
      <c r="F1264" s="250"/>
      <c r="G1264" s="255">
        <v>0.4</v>
      </c>
      <c r="H1264" s="255">
        <v>0.5</v>
      </c>
      <c r="I1264" s="255">
        <v>0.6</v>
      </c>
      <c r="J1264" s="255">
        <v>0.7</v>
      </c>
      <c r="K1264" s="255">
        <v>0.8</v>
      </c>
      <c r="L1264" s="255">
        <v>0.9</v>
      </c>
      <c r="M1264" s="255">
        <v>1</v>
      </c>
      <c r="N1264"/>
    </row>
    <row r="1265" spans="1:14" ht="12" hidden="1" customHeight="1">
      <c r="A1265" s="242" t="s">
        <v>2027</v>
      </c>
      <c r="B1265" s="243"/>
      <c r="C1265" s="243"/>
      <c r="D1265" s="243"/>
      <c r="E1265" s="242" t="s">
        <v>2017</v>
      </c>
      <c r="F1265" s="244"/>
      <c r="G1265" s="246">
        <v>1.3</v>
      </c>
      <c r="H1265" s="234">
        <v>1.7</v>
      </c>
      <c r="I1265" s="234">
        <v>2</v>
      </c>
      <c r="J1265" s="234">
        <v>2.2999999999999998</v>
      </c>
      <c r="K1265" s="234">
        <v>2.7</v>
      </c>
      <c r="L1265" s="234">
        <v>3</v>
      </c>
      <c r="M1265" s="234">
        <v>3.3</v>
      </c>
      <c r="N1265"/>
    </row>
    <row r="1266" spans="1:14" ht="12" hidden="1" customHeight="1">
      <c r="A1266" s="245" t="s">
        <v>2028</v>
      </c>
      <c r="B1266"/>
      <c r="C1266"/>
      <c r="D1266"/>
      <c r="E1266" s="245" t="s">
        <v>2017</v>
      </c>
      <c r="F1266" s="250"/>
      <c r="G1266" s="247">
        <v>1.1000000000000001</v>
      </c>
      <c r="H1266" s="235">
        <v>1.4</v>
      </c>
      <c r="I1266" s="235">
        <v>1.7</v>
      </c>
      <c r="J1266" s="235">
        <v>1.9</v>
      </c>
      <c r="K1266" s="235">
        <v>2.2000000000000002</v>
      </c>
      <c r="L1266" s="235">
        <v>2.5</v>
      </c>
      <c r="M1266" s="235">
        <v>2.8</v>
      </c>
      <c r="N1266"/>
    </row>
    <row r="1267" spans="1:14" ht="12" hidden="1" customHeight="1">
      <c r="A1267" s="245" t="s">
        <v>2029</v>
      </c>
      <c r="B1267"/>
      <c r="C1267"/>
      <c r="D1267"/>
      <c r="E1267" s="245" t="s">
        <v>2017</v>
      </c>
      <c r="F1267" s="250"/>
      <c r="G1267" s="247">
        <v>1.6</v>
      </c>
      <c r="H1267" s="235">
        <v>2.1</v>
      </c>
      <c r="I1267" s="235">
        <v>2.5</v>
      </c>
      <c r="J1267" s="235">
        <v>2.9</v>
      </c>
      <c r="K1267" s="235">
        <v>3.3</v>
      </c>
      <c r="L1267" s="235">
        <v>3.7</v>
      </c>
      <c r="M1267" s="235">
        <v>4.0999999999999996</v>
      </c>
      <c r="N1267"/>
    </row>
    <row r="1268" spans="1:14" ht="12" hidden="1" customHeight="1">
      <c r="A1268" s="236" t="s">
        <v>2030</v>
      </c>
      <c r="B1268" s="248"/>
      <c r="C1268" s="248"/>
      <c r="D1268" s="248"/>
      <c r="E1268" s="236" t="s">
        <v>2017</v>
      </c>
      <c r="F1268" s="251"/>
      <c r="G1268" s="249">
        <v>1.3</v>
      </c>
      <c r="H1268" s="238">
        <v>1.6</v>
      </c>
      <c r="I1268" s="238">
        <v>1.9</v>
      </c>
      <c r="J1268" s="238">
        <v>2.2999999999999998</v>
      </c>
      <c r="K1268" s="238">
        <v>2.6</v>
      </c>
      <c r="L1268" s="238">
        <v>2.9</v>
      </c>
      <c r="M1268" s="238">
        <v>3.2</v>
      </c>
      <c r="N1268"/>
    </row>
    <row r="1269" spans="1:14" ht="12" hidden="1" customHeight="1">
      <c r="A1269"/>
      <c r="B1269"/>
      <c r="C1269"/>
      <c r="D1269"/>
      <c r="E1269"/>
      <c r="F1269"/>
      <c r="G1269"/>
      <c r="H1269"/>
      <c r="I1269"/>
      <c r="J1269"/>
      <c r="K1269"/>
      <c r="L1269"/>
      <c r="M1269"/>
      <c r="N1269"/>
    </row>
    <row r="1270" spans="1:14" ht="12" hidden="1" customHeight="1">
      <c r="A1270" s="179" t="s">
        <v>2031</v>
      </c>
      <c r="B1270" t="s">
        <v>2032</v>
      </c>
      <c r="C1270"/>
      <c r="D1270"/>
      <c r="E1270"/>
      <c r="F1270"/>
      <c r="G1270"/>
      <c r="H1270"/>
      <c r="I1270"/>
      <c r="J1270"/>
      <c r="K1270"/>
      <c r="L1270"/>
      <c r="M1270"/>
      <c r="N1270"/>
    </row>
    <row r="1271" spans="1:14" ht="12" hidden="1" customHeight="1">
      <c r="A1271" s="179"/>
      <c r="B1271" t="s">
        <v>2033</v>
      </c>
      <c r="C1271"/>
      <c r="D1271"/>
      <c r="E1271"/>
      <c r="F1271"/>
      <c r="G1271"/>
      <c r="H1271"/>
      <c r="I1271"/>
      <c r="J1271"/>
      <c r="K1271"/>
      <c r="L1271"/>
      <c r="M1271"/>
      <c r="N1271"/>
    </row>
    <row r="1272" spans="1:14" ht="12" hidden="1" customHeight="1">
      <c r="A1272" s="242"/>
      <c r="B1272" s="243"/>
      <c r="C1272" s="244"/>
      <c r="D1272" s="234" t="s">
        <v>2034</v>
      </c>
      <c r="E1272" s="1325" t="s">
        <v>2035</v>
      </c>
      <c r="F1272" s="1327"/>
      <c r="G1272" s="1327"/>
      <c r="H1272" s="1327"/>
      <c r="I1272" s="1327"/>
      <c r="J1272" s="1327"/>
      <c r="K1272" s="1327"/>
      <c r="L1272" s="1326"/>
      <c r="M1272"/>
      <c r="N1272"/>
    </row>
    <row r="1273" spans="1:14" ht="12" hidden="1" customHeight="1">
      <c r="A1273" s="245"/>
      <c r="B1273"/>
      <c r="C1273" s="250"/>
      <c r="D1273" s="235" t="s">
        <v>2036</v>
      </c>
      <c r="E1273" s="1301" t="s">
        <v>2037</v>
      </c>
      <c r="F1273" s="1303"/>
      <c r="G1273" s="1303"/>
      <c r="H1273" s="1303"/>
      <c r="I1273" s="1303"/>
      <c r="J1273" s="1303"/>
      <c r="K1273" s="1303"/>
      <c r="L1273" s="1302"/>
      <c r="M1273"/>
      <c r="N1273"/>
    </row>
    <row r="1274" spans="1:14" ht="12" hidden="1" customHeight="1">
      <c r="A1274" s="236"/>
      <c r="B1274" s="248"/>
      <c r="C1274" s="251"/>
      <c r="D1274" s="238" t="s">
        <v>2038</v>
      </c>
      <c r="E1274" s="255">
        <v>80</v>
      </c>
      <c r="F1274" s="255">
        <v>70</v>
      </c>
      <c r="G1274" s="255">
        <v>60</v>
      </c>
      <c r="H1274" s="255">
        <v>50</v>
      </c>
      <c r="I1274" s="255">
        <v>40</v>
      </c>
      <c r="J1274" s="255">
        <v>30</v>
      </c>
      <c r="K1274" s="255">
        <v>20</v>
      </c>
      <c r="L1274" s="255">
        <v>15</v>
      </c>
      <c r="M1274"/>
      <c r="N1274"/>
    </row>
    <row r="1275" spans="1:14" ht="12" hidden="1" customHeight="1">
      <c r="A1275" s="242" t="s">
        <v>2039</v>
      </c>
      <c r="B1275" s="243"/>
      <c r="C1275" s="244"/>
      <c r="D1275" s="234">
        <v>0.4</v>
      </c>
      <c r="E1275" s="234">
        <v>35.1</v>
      </c>
      <c r="F1275" s="234">
        <v>34.5</v>
      </c>
      <c r="G1275" s="234">
        <v>33.5</v>
      </c>
      <c r="H1275" s="234">
        <v>31.4</v>
      </c>
      <c r="I1275" s="234">
        <v>28.7</v>
      </c>
      <c r="J1275" s="234">
        <v>24.9</v>
      </c>
      <c r="K1275" s="234">
        <v>19.100000000000001</v>
      </c>
      <c r="L1275" s="234">
        <v>15.3</v>
      </c>
      <c r="M1275"/>
      <c r="N1275"/>
    </row>
    <row r="1276" spans="1:14" ht="12" hidden="1" customHeight="1">
      <c r="A1276" s="245" t="s">
        <v>2040</v>
      </c>
      <c r="B1276"/>
      <c r="C1276" s="250"/>
      <c r="D1276" s="235">
        <v>0.6</v>
      </c>
      <c r="E1276" s="235">
        <v>51.1</v>
      </c>
      <c r="F1276" s="235">
        <v>48.6</v>
      </c>
      <c r="G1276" s="235">
        <v>45.3</v>
      </c>
      <c r="H1276" s="235">
        <v>41.3</v>
      </c>
      <c r="I1276" s="235">
        <v>36</v>
      </c>
      <c r="J1276" s="235">
        <v>29.2</v>
      </c>
      <c r="K1276" s="235">
        <v>20.3</v>
      </c>
      <c r="L1276" s="235">
        <v>15.3</v>
      </c>
      <c r="M1276"/>
      <c r="N1276"/>
    </row>
    <row r="1277" spans="1:14" ht="12" hidden="1" customHeight="1">
      <c r="A1277" s="245" t="s">
        <v>2041</v>
      </c>
      <c r="B1277"/>
      <c r="C1277" s="250"/>
      <c r="D1277" s="235">
        <v>0.8</v>
      </c>
      <c r="E1277" s="235">
        <v>62.9</v>
      </c>
      <c r="F1277" s="235">
        <v>58.4</v>
      </c>
      <c r="G1277" s="235">
        <v>53.4</v>
      </c>
      <c r="H1277" s="235">
        <v>47.1</v>
      </c>
      <c r="I1277" s="235">
        <v>39.5</v>
      </c>
      <c r="J1277" s="235">
        <v>30.3</v>
      </c>
      <c r="K1277" s="235">
        <v>20.8</v>
      </c>
      <c r="L1277" s="235">
        <v>20.399999999999999</v>
      </c>
      <c r="M1277"/>
      <c r="N1277"/>
    </row>
    <row r="1278" spans="1:14" ht="12" hidden="1" customHeight="1">
      <c r="A1278" s="236" t="s">
        <v>2042</v>
      </c>
      <c r="B1278" s="248"/>
      <c r="C1278" s="251"/>
      <c r="D1278" s="238">
        <v>1</v>
      </c>
      <c r="E1278" s="238">
        <v>71.3</v>
      </c>
      <c r="F1278" s="238">
        <v>65.5</v>
      </c>
      <c r="G1278" s="238">
        <v>58.3</v>
      </c>
      <c r="H1278" s="238">
        <v>49.9</v>
      </c>
      <c r="I1278" s="238">
        <v>40.299999999999997</v>
      </c>
      <c r="J1278" s="238">
        <v>30.3</v>
      </c>
      <c r="K1278" s="238">
        <v>26</v>
      </c>
      <c r="L1278" s="238">
        <v>25.4</v>
      </c>
      <c r="M1278"/>
      <c r="N1278"/>
    </row>
    <row r="1279" spans="1:14" ht="12" hidden="1" customHeight="1">
      <c r="A1279" s="242" t="s">
        <v>2039</v>
      </c>
      <c r="B1279" s="243"/>
      <c r="C1279" s="244"/>
      <c r="D1279" s="234">
        <v>0.4</v>
      </c>
      <c r="E1279" s="234">
        <v>24.8</v>
      </c>
      <c r="F1279" s="234">
        <v>24.4</v>
      </c>
      <c r="G1279" s="234">
        <v>23.7</v>
      </c>
      <c r="H1279" s="234">
        <v>23</v>
      </c>
      <c r="I1279" s="234">
        <v>22.2</v>
      </c>
      <c r="J1279" s="234">
        <v>19.899999999999999</v>
      </c>
      <c r="K1279" s="234">
        <v>16.399999999999999</v>
      </c>
      <c r="L1279" s="234">
        <v>14.1</v>
      </c>
      <c r="M1279"/>
      <c r="N1279"/>
    </row>
    <row r="1280" spans="1:14" ht="12" hidden="1" customHeight="1">
      <c r="A1280" s="245" t="s">
        <v>2040</v>
      </c>
      <c r="B1280"/>
      <c r="C1280" s="250"/>
      <c r="D1280" s="235">
        <v>0.6</v>
      </c>
      <c r="E1280" s="235">
        <v>42.3</v>
      </c>
      <c r="F1280" s="235">
        <v>41.3</v>
      </c>
      <c r="G1280" s="235">
        <v>38.9</v>
      </c>
      <c r="H1280" s="235">
        <v>36</v>
      </c>
      <c r="I1280" s="235">
        <v>32.299999999999997</v>
      </c>
      <c r="J1280" s="235">
        <v>27.2</v>
      </c>
      <c r="K1280" s="235">
        <v>20</v>
      </c>
      <c r="L1280" s="235">
        <v>15.4</v>
      </c>
      <c r="M1280"/>
      <c r="N1280"/>
    </row>
    <row r="1281" spans="1:14" ht="12" hidden="1" customHeight="1">
      <c r="A1281" s="245" t="s">
        <v>2043</v>
      </c>
      <c r="B1281"/>
      <c r="C1281" s="250"/>
      <c r="D1281" s="235">
        <v>0.8</v>
      </c>
      <c r="E1281" s="235">
        <v>56.3</v>
      </c>
      <c r="F1281" s="235">
        <v>53.2</v>
      </c>
      <c r="G1281" s="235">
        <v>49.1</v>
      </c>
      <c r="H1281" s="235">
        <v>44.1</v>
      </c>
      <c r="I1281" s="235">
        <v>37.799999999999997</v>
      </c>
      <c r="J1281" s="235">
        <v>29.9</v>
      </c>
      <c r="K1281" s="235">
        <v>20.3</v>
      </c>
      <c r="L1281" s="235">
        <v>17.399999999999999</v>
      </c>
      <c r="M1281"/>
      <c r="N1281"/>
    </row>
    <row r="1282" spans="1:14" ht="12" hidden="1" customHeight="1">
      <c r="A1282" s="236" t="s">
        <v>2042</v>
      </c>
      <c r="B1282" s="248"/>
      <c r="C1282" s="251"/>
      <c r="D1282" s="238">
        <v>1</v>
      </c>
      <c r="E1282" s="238">
        <v>66.7</v>
      </c>
      <c r="F1282" s="238">
        <v>61.9</v>
      </c>
      <c r="G1282" s="238">
        <v>55.8</v>
      </c>
      <c r="H1282" s="238">
        <v>48.6</v>
      </c>
      <c r="I1282" s="238">
        <v>40.1</v>
      </c>
      <c r="J1282" s="238">
        <v>30.3</v>
      </c>
      <c r="K1282" s="238">
        <v>22.9</v>
      </c>
      <c r="L1282" s="238">
        <v>22.5</v>
      </c>
      <c r="M1282"/>
      <c r="N1282"/>
    </row>
    <row r="1283" spans="1:14" ht="12" hidden="1" customHeight="1">
      <c r="A1283" s="242" t="s">
        <v>2044</v>
      </c>
      <c r="B1283" s="243"/>
      <c r="C1283" s="244"/>
      <c r="D1283" s="234">
        <v>0.4</v>
      </c>
      <c r="E1283" s="234">
        <v>46.2</v>
      </c>
      <c r="F1283" s="234">
        <v>44.3</v>
      </c>
      <c r="G1283" s="234">
        <v>41.5</v>
      </c>
      <c r="H1283" s="234">
        <v>38.200000000000003</v>
      </c>
      <c r="I1283" s="234">
        <v>33.9</v>
      </c>
      <c r="J1283" s="234">
        <v>28.1</v>
      </c>
      <c r="K1283" s="234">
        <v>20.100000000000001</v>
      </c>
      <c r="L1283" s="234">
        <v>15.3</v>
      </c>
      <c r="M1283"/>
      <c r="N1283"/>
    </row>
    <row r="1284" spans="1:14" ht="12" hidden="1" customHeight="1">
      <c r="A1284" s="245" t="s">
        <v>2045</v>
      </c>
      <c r="B1284"/>
      <c r="C1284" s="250"/>
      <c r="D1284" s="235">
        <v>0.6</v>
      </c>
      <c r="E1284" s="235">
        <v>62.5</v>
      </c>
      <c r="F1284" s="235">
        <v>58.4</v>
      </c>
      <c r="G1284" s="235">
        <v>53.2</v>
      </c>
      <c r="H1284" s="235">
        <v>47</v>
      </c>
      <c r="I1284" s="235">
        <v>39.4</v>
      </c>
      <c r="J1284" s="235">
        <v>30.2</v>
      </c>
      <c r="K1284" s="235">
        <v>20.6</v>
      </c>
      <c r="L1284" s="235">
        <v>20.2</v>
      </c>
      <c r="M1284"/>
      <c r="N1284"/>
    </row>
    <row r="1285" spans="1:14" ht="12" hidden="1" customHeight="1">
      <c r="A1285" s="245" t="s">
        <v>2041</v>
      </c>
      <c r="B1285"/>
      <c r="C1285" s="250"/>
      <c r="D1285" s="235">
        <v>0.8</v>
      </c>
      <c r="E1285" s="235">
        <v>73.099999999999994</v>
      </c>
      <c r="F1285" s="235">
        <v>66.900000000000006</v>
      </c>
      <c r="G1285" s="235">
        <v>59.3</v>
      </c>
      <c r="H1285" s="235">
        <v>50.3</v>
      </c>
      <c r="I1285" s="235">
        <v>40.6</v>
      </c>
      <c r="J1285" s="235">
        <v>30.3</v>
      </c>
      <c r="K1285" s="235">
        <v>27.4</v>
      </c>
      <c r="L1285" s="235">
        <v>26.9</v>
      </c>
      <c r="M1285"/>
      <c r="N1285"/>
    </row>
    <row r="1286" spans="1:14" ht="12" hidden="1" customHeight="1">
      <c r="A1286" s="236" t="s">
        <v>2042</v>
      </c>
      <c r="B1286" s="248"/>
      <c r="C1286" s="251"/>
      <c r="D1286" s="238">
        <v>1</v>
      </c>
      <c r="E1286" s="238">
        <v>78.8</v>
      </c>
      <c r="F1286" s="238">
        <v>71.099999999999994</v>
      </c>
      <c r="G1286" s="238">
        <v>61.4</v>
      </c>
      <c r="H1286" s="238">
        <v>51.2</v>
      </c>
      <c r="I1286" s="238">
        <v>40.5</v>
      </c>
      <c r="J1286" s="238">
        <v>35.799999999999997</v>
      </c>
      <c r="K1286" s="238">
        <v>34.299999999999997</v>
      </c>
      <c r="L1286" s="238">
        <v>33.6</v>
      </c>
      <c r="M1286"/>
      <c r="N1286"/>
    </row>
    <row r="1287" spans="1:14" ht="12" hidden="1" customHeight="1">
      <c r="A1287" s="242" t="s">
        <v>2044</v>
      </c>
      <c r="B1287" s="243"/>
      <c r="C1287" s="244"/>
      <c r="D1287" s="235">
        <v>0.4</v>
      </c>
      <c r="E1287" s="235">
        <v>36.1</v>
      </c>
      <c r="F1287" s="235">
        <v>35.5</v>
      </c>
      <c r="G1287" s="235">
        <v>34.299999999999997</v>
      </c>
      <c r="H1287" s="235">
        <v>32.1</v>
      </c>
      <c r="I1287" s="235">
        <v>29.3</v>
      </c>
      <c r="J1287" s="235">
        <v>25.3</v>
      </c>
      <c r="K1287" s="235">
        <v>19.3</v>
      </c>
      <c r="L1287" s="235">
        <v>15.3</v>
      </c>
      <c r="M1287"/>
      <c r="N1287"/>
    </row>
    <row r="1288" spans="1:14" ht="12" hidden="1" customHeight="1">
      <c r="A1288" s="245" t="s">
        <v>2045</v>
      </c>
      <c r="B1288"/>
      <c r="C1288" s="250"/>
      <c r="D1288" s="235">
        <v>0.6</v>
      </c>
      <c r="E1288" s="235">
        <v>55.9</v>
      </c>
      <c r="F1288" s="235">
        <v>52.8</v>
      </c>
      <c r="G1288" s="235">
        <v>48.8</v>
      </c>
      <c r="H1288" s="235">
        <v>43.9</v>
      </c>
      <c r="I1288" s="235">
        <v>37.6</v>
      </c>
      <c r="J1288" s="235">
        <v>29.9</v>
      </c>
      <c r="K1288" s="235">
        <v>20.3</v>
      </c>
      <c r="L1288" s="235">
        <v>17.2</v>
      </c>
      <c r="M1288"/>
      <c r="N1288"/>
    </row>
    <row r="1289" spans="1:14" ht="12" hidden="1" customHeight="1">
      <c r="A1289" s="245" t="s">
        <v>2043</v>
      </c>
      <c r="B1289"/>
      <c r="C1289" s="250"/>
      <c r="D1289" s="235">
        <v>0.8</v>
      </c>
      <c r="E1289" s="235">
        <v>69.099999999999994</v>
      </c>
      <c r="F1289" s="235">
        <v>63.8</v>
      </c>
      <c r="G1289" s="235">
        <v>57.2</v>
      </c>
      <c r="H1289" s="235">
        <v>49.4</v>
      </c>
      <c r="I1289" s="235">
        <v>40.4</v>
      </c>
      <c r="J1289" s="235">
        <v>30.4</v>
      </c>
      <c r="K1289" s="235">
        <v>24.4</v>
      </c>
      <c r="L1289" s="235">
        <v>23.9</v>
      </c>
      <c r="M1289"/>
      <c r="N1289"/>
    </row>
    <row r="1290" spans="1:14" ht="12" hidden="1" customHeight="1">
      <c r="A1290" s="236" t="s">
        <v>2042</v>
      </c>
      <c r="B1290" s="248"/>
      <c r="C1290" s="251"/>
      <c r="D1290" s="238">
        <v>1</v>
      </c>
      <c r="E1290" s="238">
        <v>76.8</v>
      </c>
      <c r="F1290" s="238">
        <v>69.5</v>
      </c>
      <c r="G1290" s="238">
        <v>60.8</v>
      </c>
      <c r="H1290" s="238">
        <v>50.8</v>
      </c>
      <c r="I1290" s="238">
        <v>40.700000000000003</v>
      </c>
      <c r="J1290" s="238">
        <v>32.700000000000003</v>
      </c>
      <c r="K1290" s="238">
        <v>31.2</v>
      </c>
      <c r="L1290" s="238">
        <v>30.6</v>
      </c>
      <c r="M1290"/>
      <c r="N1290"/>
    </row>
    <row r="1291" spans="1:14" ht="12" hidden="1" customHeight="1">
      <c r="A1291" s="241"/>
      <c r="B1291"/>
      <c r="C1291"/>
      <c r="D1291"/>
      <c r="E1291"/>
      <c r="F1291"/>
      <c r="G1291"/>
      <c r="H1291"/>
    </row>
    <row r="1292" spans="1:14" ht="12" hidden="1" customHeight="1">
      <c r="A1292" s="179" t="s">
        <v>2046</v>
      </c>
      <c r="B1292" t="s">
        <v>2047</v>
      </c>
      <c r="C1292"/>
      <c r="D1292"/>
      <c r="E1292"/>
      <c r="F1292"/>
      <c r="G1292"/>
      <c r="H1292"/>
    </row>
    <row r="1293" spans="1:14" ht="12" hidden="1" customHeight="1">
      <c r="A1293" s="242" t="s">
        <v>2048</v>
      </c>
      <c r="B1293" s="243"/>
      <c r="C1293" s="244"/>
      <c r="D1293" s="1325" t="s">
        <v>2049</v>
      </c>
      <c r="E1293" s="1326"/>
      <c r="F1293"/>
      <c r="G1293"/>
      <c r="H1293"/>
    </row>
    <row r="1294" spans="1:14" ht="12" hidden="1" customHeight="1">
      <c r="A1294" s="245" t="s">
        <v>2050</v>
      </c>
      <c r="B1294"/>
      <c r="C1294" s="250"/>
      <c r="D1294" s="1301" t="s">
        <v>2051</v>
      </c>
      <c r="E1294" s="1302"/>
      <c r="F1294"/>
      <c r="G1294"/>
      <c r="H1294"/>
    </row>
    <row r="1295" spans="1:14" ht="12" hidden="1" customHeight="1">
      <c r="A1295" s="242" t="s">
        <v>2052</v>
      </c>
      <c r="B1295" s="243"/>
      <c r="C1295" s="244"/>
      <c r="D1295" s="1325">
        <v>0.28000000000000003</v>
      </c>
      <c r="E1295" s="1326"/>
      <c r="F1295"/>
      <c r="G1295"/>
      <c r="H1295"/>
    </row>
    <row r="1296" spans="1:14" ht="12" hidden="1" customHeight="1">
      <c r="A1296" s="236" t="s">
        <v>2053</v>
      </c>
      <c r="B1296" s="248"/>
      <c r="C1296" s="251"/>
      <c r="D1296" s="1301">
        <v>0.34</v>
      </c>
      <c r="E1296" s="1302"/>
      <c r="F1296"/>
      <c r="G1296"/>
      <c r="H1296"/>
    </row>
    <row r="1297" spans="1:12" ht="12" hidden="1" customHeight="1">
      <c r="A1297" s="241"/>
      <c r="B1297"/>
      <c r="C1297"/>
      <c r="D1297"/>
      <c r="E1297"/>
      <c r="F1297"/>
      <c r="G1297"/>
      <c r="H1297"/>
    </row>
    <row r="1298" spans="1:12" ht="12" hidden="1" customHeight="1">
      <c r="A1298" s="179" t="s">
        <v>2054</v>
      </c>
      <c r="B1298" t="s">
        <v>2055</v>
      </c>
      <c r="C1298"/>
      <c r="D1298"/>
      <c r="E1298"/>
      <c r="F1298"/>
      <c r="G1298"/>
      <c r="H1298"/>
      <c r="I1298"/>
      <c r="J1298"/>
      <c r="K1298"/>
      <c r="L1298"/>
    </row>
    <row r="1299" spans="1:12" ht="12" hidden="1" customHeight="1">
      <c r="A1299" s="179"/>
      <c r="B1299" t="s">
        <v>2056</v>
      </c>
      <c r="C1299"/>
      <c r="D1299"/>
      <c r="E1299"/>
      <c r="F1299"/>
      <c r="G1299"/>
      <c r="H1299"/>
      <c r="I1299"/>
      <c r="J1299"/>
      <c r="K1299"/>
      <c r="L1299"/>
    </row>
    <row r="1300" spans="1:12" ht="12" hidden="1" customHeight="1">
      <c r="A1300" s="242"/>
      <c r="B1300" s="243"/>
      <c r="C1300" s="244"/>
      <c r="D1300" s="234" t="s">
        <v>2034</v>
      </c>
      <c r="E1300" s="1325" t="s">
        <v>2035</v>
      </c>
      <c r="F1300" s="1327"/>
      <c r="G1300" s="1327"/>
      <c r="H1300" s="1327"/>
      <c r="I1300" s="1327"/>
      <c r="J1300" s="1327"/>
      <c r="K1300" s="1327"/>
      <c r="L1300" s="1326"/>
    </row>
    <row r="1301" spans="1:12" ht="12" hidden="1" customHeight="1">
      <c r="A1301" s="245"/>
      <c r="B1301"/>
      <c r="C1301" s="250"/>
      <c r="D1301" s="235" t="s">
        <v>2036</v>
      </c>
      <c r="E1301" s="1301" t="s">
        <v>2037</v>
      </c>
      <c r="F1301" s="1303"/>
      <c r="G1301" s="1303"/>
      <c r="H1301" s="1303"/>
      <c r="I1301" s="1303"/>
      <c r="J1301" s="1303"/>
      <c r="K1301" s="1303"/>
      <c r="L1301" s="1302"/>
    </row>
    <row r="1302" spans="1:12" ht="12" hidden="1" customHeight="1">
      <c r="A1302" s="236"/>
      <c r="B1302" s="248"/>
      <c r="C1302" s="251"/>
      <c r="D1302" s="238" t="s">
        <v>2038</v>
      </c>
      <c r="E1302" s="255">
        <v>80</v>
      </c>
      <c r="F1302" s="255">
        <v>70</v>
      </c>
      <c r="G1302" s="255">
        <v>60</v>
      </c>
      <c r="H1302" s="255">
        <v>50</v>
      </c>
      <c r="I1302" s="255">
        <v>40</v>
      </c>
      <c r="J1302" s="255">
        <v>30</v>
      </c>
      <c r="K1302" s="255">
        <v>20</v>
      </c>
      <c r="L1302" s="255">
        <v>15</v>
      </c>
    </row>
    <row r="1303" spans="1:12" ht="12" hidden="1" customHeight="1">
      <c r="A1303" s="242" t="s">
        <v>2039</v>
      </c>
      <c r="B1303" s="243"/>
      <c r="C1303" s="244"/>
      <c r="D1303" s="234">
        <v>0.4</v>
      </c>
      <c r="E1303" s="234" t="s">
        <v>367</v>
      </c>
      <c r="F1303" s="234" t="s">
        <v>367</v>
      </c>
      <c r="G1303" s="234" t="s">
        <v>367</v>
      </c>
      <c r="H1303" s="234" t="s">
        <v>367</v>
      </c>
      <c r="I1303" s="234">
        <v>10.4</v>
      </c>
      <c r="J1303" s="234">
        <v>5.5</v>
      </c>
      <c r="K1303" s="234">
        <v>1.2</v>
      </c>
      <c r="L1303" s="234">
        <v>0</v>
      </c>
    </row>
    <row r="1304" spans="1:12" ht="12" hidden="1" customHeight="1">
      <c r="A1304" s="245" t="s">
        <v>2040</v>
      </c>
      <c r="B1304"/>
      <c r="C1304" s="250"/>
      <c r="D1304" s="235">
        <v>0.6</v>
      </c>
      <c r="E1304" s="235" t="s">
        <v>367</v>
      </c>
      <c r="F1304" s="235" t="s">
        <v>367</v>
      </c>
      <c r="G1304" s="235">
        <v>15.3</v>
      </c>
      <c r="H1304" s="235">
        <v>9.8000000000000007</v>
      </c>
      <c r="I1304" s="235">
        <v>4.9000000000000004</v>
      </c>
      <c r="J1304" s="235">
        <v>0</v>
      </c>
      <c r="K1304" s="235">
        <v>0</v>
      </c>
      <c r="L1304" s="235">
        <v>0</v>
      </c>
    </row>
    <row r="1305" spans="1:12" ht="12" hidden="1" customHeight="1">
      <c r="A1305" s="245" t="s">
        <v>2041</v>
      </c>
      <c r="B1305"/>
      <c r="C1305" s="250"/>
      <c r="D1305" s="235">
        <v>0.8</v>
      </c>
      <c r="E1305" s="235" t="s">
        <v>367</v>
      </c>
      <c r="F1305" s="235">
        <v>14</v>
      </c>
      <c r="G1305" s="235">
        <v>8.6999999999999993</v>
      </c>
      <c r="H1305" s="235">
        <v>4.5</v>
      </c>
      <c r="I1305" s="235">
        <v>0</v>
      </c>
      <c r="J1305" s="235">
        <v>0</v>
      </c>
      <c r="K1305" s="235">
        <v>0</v>
      </c>
      <c r="L1305" s="235">
        <v>0</v>
      </c>
    </row>
    <row r="1306" spans="1:12" ht="12" hidden="1" customHeight="1">
      <c r="A1306" s="236" t="s">
        <v>2042</v>
      </c>
      <c r="B1306" s="248"/>
      <c r="C1306" s="251"/>
      <c r="D1306" s="238">
        <v>1</v>
      </c>
      <c r="E1306" s="238">
        <v>12.5</v>
      </c>
      <c r="F1306" s="238">
        <v>7.9</v>
      </c>
      <c r="G1306" s="238">
        <v>3.7</v>
      </c>
      <c r="H1306" s="238">
        <v>0</v>
      </c>
      <c r="I1306" s="238">
        <v>0</v>
      </c>
      <c r="J1306" s="238">
        <v>0</v>
      </c>
      <c r="K1306" s="238">
        <v>0</v>
      </c>
      <c r="L1306" s="238">
        <v>0</v>
      </c>
    </row>
    <row r="1307" spans="1:12" ht="12" hidden="1" customHeight="1">
      <c r="A1307" s="242" t="s">
        <v>2039</v>
      </c>
      <c r="B1307" s="243"/>
      <c r="C1307" s="244"/>
      <c r="D1307" s="234">
        <v>0.4</v>
      </c>
      <c r="E1307" s="235" t="s">
        <v>367</v>
      </c>
      <c r="F1307" s="235" t="s">
        <v>367</v>
      </c>
      <c r="G1307" s="235" t="s">
        <v>367</v>
      </c>
      <c r="H1307" s="235" t="s">
        <v>367</v>
      </c>
      <c r="I1307" s="235" t="s">
        <v>367</v>
      </c>
      <c r="J1307" s="235">
        <v>10.5</v>
      </c>
      <c r="K1307" s="235">
        <v>4</v>
      </c>
      <c r="L1307" s="235">
        <v>0</v>
      </c>
    </row>
    <row r="1308" spans="1:12" ht="12" hidden="1" customHeight="1">
      <c r="A1308" s="245" t="s">
        <v>2040</v>
      </c>
      <c r="B1308"/>
      <c r="C1308" s="250"/>
      <c r="D1308" s="235">
        <v>0.6</v>
      </c>
      <c r="E1308" s="235" t="s">
        <v>367</v>
      </c>
      <c r="F1308" s="235" t="s">
        <v>367</v>
      </c>
      <c r="G1308" s="235" t="s">
        <v>367</v>
      </c>
      <c r="H1308" s="235">
        <v>15.1</v>
      </c>
      <c r="I1308" s="235">
        <v>8.6999999999999993</v>
      </c>
      <c r="J1308" s="235">
        <v>0</v>
      </c>
      <c r="K1308" s="235">
        <v>0</v>
      </c>
      <c r="L1308" s="235">
        <v>0</v>
      </c>
    </row>
    <row r="1309" spans="1:12" ht="12" hidden="1" customHeight="1">
      <c r="A1309" s="245" t="s">
        <v>2043</v>
      </c>
      <c r="B1309"/>
      <c r="C1309" s="250"/>
      <c r="D1309" s="235">
        <v>0.8</v>
      </c>
      <c r="E1309" s="235" t="s">
        <v>367</v>
      </c>
      <c r="F1309" s="235" t="s">
        <v>367</v>
      </c>
      <c r="G1309" s="235">
        <v>13.2</v>
      </c>
      <c r="H1309" s="235">
        <v>7.6</v>
      </c>
      <c r="I1309" s="235">
        <v>0</v>
      </c>
      <c r="J1309" s="235">
        <v>0</v>
      </c>
      <c r="K1309" s="235">
        <v>0</v>
      </c>
      <c r="L1309" s="235">
        <v>0</v>
      </c>
    </row>
    <row r="1310" spans="1:12" ht="12" hidden="1" customHeight="1">
      <c r="A1310" s="236" t="s">
        <v>2042</v>
      </c>
      <c r="B1310" s="248"/>
      <c r="C1310" s="251"/>
      <c r="D1310" s="238">
        <v>1</v>
      </c>
      <c r="E1310" s="235" t="s">
        <v>367</v>
      </c>
      <c r="F1310" s="235">
        <v>11.6</v>
      </c>
      <c r="G1310" s="235">
        <v>6.2</v>
      </c>
      <c r="H1310" s="235">
        <v>0</v>
      </c>
      <c r="I1310" s="235">
        <v>0</v>
      </c>
      <c r="J1310" s="235">
        <v>0</v>
      </c>
      <c r="K1310" s="235">
        <v>0</v>
      </c>
      <c r="L1310" s="235">
        <v>0</v>
      </c>
    </row>
    <row r="1311" spans="1:12" ht="12" hidden="1" customHeight="1">
      <c r="A1311" s="242" t="s">
        <v>2044</v>
      </c>
      <c r="B1311" s="243"/>
      <c r="C1311" s="244"/>
      <c r="D1311" s="234">
        <v>0.4</v>
      </c>
      <c r="E1311" s="234" t="s">
        <v>367</v>
      </c>
      <c r="F1311" s="234" t="s">
        <v>367</v>
      </c>
      <c r="G1311" s="234" t="s">
        <v>367</v>
      </c>
      <c r="H1311" s="234">
        <v>12.5</v>
      </c>
      <c r="I1311" s="234">
        <v>6.8</v>
      </c>
      <c r="J1311" s="234">
        <v>0</v>
      </c>
      <c r="K1311" s="234">
        <v>0</v>
      </c>
      <c r="L1311" s="234">
        <v>0</v>
      </c>
    </row>
    <row r="1312" spans="1:12" ht="12" hidden="1" customHeight="1">
      <c r="A1312" s="245" t="s">
        <v>2045</v>
      </c>
      <c r="B1312"/>
      <c r="C1312" s="250"/>
      <c r="D1312" s="235">
        <v>0.6</v>
      </c>
      <c r="E1312" s="235">
        <v>14.3</v>
      </c>
      <c r="F1312" s="235">
        <v>9</v>
      </c>
      <c r="G1312" s="235">
        <v>3.4</v>
      </c>
      <c r="H1312" s="235">
        <v>0</v>
      </c>
      <c r="I1312" s="235">
        <v>0</v>
      </c>
      <c r="J1312" s="235">
        <v>0</v>
      </c>
      <c r="K1312" s="235">
        <v>0</v>
      </c>
      <c r="L1312" s="235">
        <v>0</v>
      </c>
    </row>
    <row r="1313" spans="1:12" ht="12" hidden="1" customHeight="1">
      <c r="A1313" s="245" t="s">
        <v>2041</v>
      </c>
      <c r="B1313"/>
      <c r="C1313" s="250"/>
      <c r="D1313" s="235">
        <v>0.8</v>
      </c>
      <c r="E1313" s="235">
        <v>4.2</v>
      </c>
      <c r="F1313" s="235">
        <v>0</v>
      </c>
      <c r="G1313" s="235">
        <v>0</v>
      </c>
      <c r="H1313" s="235">
        <v>0</v>
      </c>
      <c r="I1313" s="235">
        <v>0</v>
      </c>
      <c r="J1313" s="235">
        <v>0</v>
      </c>
      <c r="K1313" s="235">
        <v>0</v>
      </c>
      <c r="L1313" s="235">
        <v>0</v>
      </c>
    </row>
    <row r="1314" spans="1:12" ht="12" hidden="1" customHeight="1">
      <c r="A1314" s="236" t="s">
        <v>2042</v>
      </c>
      <c r="B1314" s="248"/>
      <c r="C1314" s="251"/>
      <c r="D1314" s="238">
        <v>1</v>
      </c>
      <c r="E1314" s="238">
        <v>0</v>
      </c>
      <c r="F1314" s="238">
        <v>0</v>
      </c>
      <c r="G1314" s="238">
        <v>0</v>
      </c>
      <c r="H1314" s="238">
        <v>0</v>
      </c>
      <c r="I1314" s="238">
        <v>0</v>
      </c>
      <c r="J1314" s="238">
        <v>0</v>
      </c>
      <c r="K1314" s="238">
        <v>0</v>
      </c>
      <c r="L1314" s="238">
        <v>0</v>
      </c>
    </row>
    <row r="1315" spans="1:12" ht="12" hidden="1" customHeight="1">
      <c r="A1315" s="242" t="s">
        <v>2044</v>
      </c>
      <c r="B1315" s="243"/>
      <c r="C1315" s="244"/>
      <c r="D1315" s="235">
        <v>0.4</v>
      </c>
      <c r="E1315" s="235" t="s">
        <v>367</v>
      </c>
      <c r="F1315" s="235" t="s">
        <v>367</v>
      </c>
      <c r="G1315" s="235" t="s">
        <v>367</v>
      </c>
      <c r="H1315" s="235" t="s">
        <v>367</v>
      </c>
      <c r="I1315" s="235">
        <v>11.4</v>
      </c>
      <c r="J1315" s="235">
        <v>0</v>
      </c>
      <c r="K1315" s="235">
        <v>0</v>
      </c>
      <c r="L1315" s="235">
        <v>0</v>
      </c>
    </row>
    <row r="1316" spans="1:12" ht="12" hidden="1" customHeight="1">
      <c r="A1316" s="245" t="s">
        <v>2045</v>
      </c>
      <c r="B1316"/>
      <c r="C1316" s="250"/>
      <c r="D1316" s="235">
        <v>0.6</v>
      </c>
      <c r="E1316" s="235" t="s">
        <v>367</v>
      </c>
      <c r="F1316" s="235" t="s">
        <v>367</v>
      </c>
      <c r="G1316" s="235">
        <v>13.4</v>
      </c>
      <c r="H1316" s="235">
        <v>6.5</v>
      </c>
      <c r="I1316" s="235">
        <v>0</v>
      </c>
      <c r="J1316" s="235">
        <v>0</v>
      </c>
      <c r="K1316" s="235">
        <v>0</v>
      </c>
      <c r="L1316" s="235">
        <v>0</v>
      </c>
    </row>
    <row r="1317" spans="1:12" ht="12" hidden="1" customHeight="1">
      <c r="A1317" s="245" t="s">
        <v>2043</v>
      </c>
      <c r="B1317"/>
      <c r="C1317" s="250"/>
      <c r="D1317" s="235">
        <v>0.8</v>
      </c>
      <c r="E1317" s="235">
        <v>14.76</v>
      </c>
      <c r="F1317" s="235">
        <v>7.3</v>
      </c>
      <c r="G1317" s="235">
        <v>0</v>
      </c>
      <c r="H1317" s="235">
        <v>0</v>
      </c>
      <c r="I1317" s="235">
        <v>0</v>
      </c>
      <c r="J1317" s="235">
        <v>0</v>
      </c>
      <c r="K1317" s="235">
        <v>0</v>
      </c>
      <c r="L1317" s="235">
        <v>0</v>
      </c>
    </row>
    <row r="1318" spans="1:12" ht="12" hidden="1" customHeight="1">
      <c r="A1318" s="236" t="s">
        <v>2042</v>
      </c>
      <c r="B1318" s="248"/>
      <c r="C1318" s="251"/>
      <c r="D1318" s="238">
        <v>1</v>
      </c>
      <c r="E1318" s="235">
        <v>0</v>
      </c>
      <c r="F1318" s="235">
        <v>0</v>
      </c>
      <c r="G1318" s="235">
        <v>0</v>
      </c>
      <c r="H1318" s="235">
        <v>0</v>
      </c>
      <c r="I1318" s="235">
        <v>0</v>
      </c>
      <c r="J1318" s="235">
        <v>0</v>
      </c>
      <c r="K1318" s="235">
        <v>0</v>
      </c>
      <c r="L1318" s="235">
        <v>0</v>
      </c>
    </row>
    <row r="1319" spans="1:12" ht="12" hidden="1" customHeight="1">
      <c r="A1319" s="242" t="s">
        <v>2039</v>
      </c>
      <c r="B1319" s="243"/>
      <c r="C1319" s="244"/>
      <c r="D1319" s="235">
        <v>0.4</v>
      </c>
      <c r="E1319" s="234" t="s">
        <v>367</v>
      </c>
      <c r="F1319" s="234">
        <v>56.5</v>
      </c>
      <c r="G1319" s="234">
        <v>51.7</v>
      </c>
      <c r="H1319" s="234">
        <v>46</v>
      </c>
      <c r="I1319" s="234">
        <v>38.799999999999997</v>
      </c>
      <c r="J1319" s="234">
        <v>30.2</v>
      </c>
      <c r="K1319" s="234">
        <v>20.2</v>
      </c>
      <c r="L1319" s="234">
        <v>0</v>
      </c>
    </row>
    <row r="1320" spans="1:12" ht="12" hidden="1" customHeight="1">
      <c r="A1320" s="245" t="s">
        <v>2057</v>
      </c>
      <c r="B1320"/>
      <c r="C1320" s="250"/>
      <c r="D1320" s="235">
        <v>0.6</v>
      </c>
      <c r="E1320" s="235">
        <v>75.099999999999994</v>
      </c>
      <c r="F1320" s="235">
        <v>68.2</v>
      </c>
      <c r="G1320" s="235">
        <v>60.2</v>
      </c>
      <c r="H1320" s="235">
        <v>50.7</v>
      </c>
      <c r="I1320" s="235">
        <v>40.700000000000003</v>
      </c>
      <c r="J1320" s="235">
        <v>0</v>
      </c>
      <c r="K1320" s="235">
        <v>0</v>
      </c>
      <c r="L1320" s="235">
        <v>0</v>
      </c>
    </row>
    <row r="1321" spans="1:12" ht="12" hidden="1" customHeight="1">
      <c r="A1321" s="245"/>
      <c r="B1321"/>
      <c r="C1321" s="250"/>
      <c r="D1321" s="235">
        <v>0.8</v>
      </c>
      <c r="E1321" s="235">
        <v>81.599999999999994</v>
      </c>
      <c r="F1321" s="235">
        <v>72.2</v>
      </c>
      <c r="G1321" s="235">
        <v>61.8</v>
      </c>
      <c r="H1321" s="235">
        <v>51.4</v>
      </c>
      <c r="I1321" s="235">
        <v>0</v>
      </c>
      <c r="J1321" s="235">
        <v>0</v>
      </c>
      <c r="K1321" s="235">
        <v>0</v>
      </c>
      <c r="L1321" s="235">
        <v>0</v>
      </c>
    </row>
    <row r="1322" spans="1:12" ht="12" hidden="1" customHeight="1">
      <c r="A1322" s="236"/>
      <c r="B1322" s="248"/>
      <c r="C1322" s="251"/>
      <c r="D1322" s="238">
        <v>1</v>
      </c>
      <c r="E1322" s="238">
        <v>83.3</v>
      </c>
      <c r="F1322" s="238">
        <v>73</v>
      </c>
      <c r="G1322" s="238">
        <v>61.8</v>
      </c>
      <c r="H1322" s="238">
        <v>0</v>
      </c>
      <c r="I1322" s="238">
        <v>0</v>
      </c>
      <c r="J1322" s="238">
        <v>0</v>
      </c>
      <c r="K1322" s="238">
        <v>0</v>
      </c>
      <c r="L1322" s="238">
        <v>0</v>
      </c>
    </row>
    <row r="1323" spans="1:12" ht="12" hidden="1" customHeight="1">
      <c r="A1323" s="242" t="s">
        <v>2039</v>
      </c>
      <c r="B1323" s="243"/>
      <c r="C1323" s="244"/>
      <c r="D1323" s="235">
        <v>0.4</v>
      </c>
      <c r="E1323" s="235" t="s">
        <v>367</v>
      </c>
      <c r="F1323" s="235" t="s">
        <v>367</v>
      </c>
      <c r="G1323" s="235">
        <v>46.5</v>
      </c>
      <c r="H1323" s="235">
        <v>42.1</v>
      </c>
      <c r="I1323" s="235">
        <v>36.6</v>
      </c>
      <c r="J1323" s="235">
        <v>29.5</v>
      </c>
      <c r="K1323" s="235">
        <v>20.3</v>
      </c>
      <c r="L1323" s="235">
        <v>0</v>
      </c>
    </row>
    <row r="1324" spans="1:12" ht="12" hidden="1" customHeight="1">
      <c r="A1324" s="245" t="s">
        <v>2057</v>
      </c>
      <c r="B1324"/>
      <c r="C1324" s="250"/>
      <c r="D1324" s="235">
        <v>0.6</v>
      </c>
      <c r="E1324" s="235">
        <v>68.900000000000006</v>
      </c>
      <c r="F1324" s="235">
        <v>63.6</v>
      </c>
      <c r="G1324" s="235">
        <v>57.1</v>
      </c>
      <c r="H1324" s="235">
        <v>49.3</v>
      </c>
      <c r="I1324" s="235">
        <v>40.299999999999997</v>
      </c>
      <c r="J1324" s="235">
        <v>30.4</v>
      </c>
      <c r="K1324" s="235">
        <v>0</v>
      </c>
      <c r="L1324" s="235">
        <v>0</v>
      </c>
    </row>
    <row r="1325" spans="1:12" ht="12" hidden="1" customHeight="1">
      <c r="A1325" s="245"/>
      <c r="B1325"/>
      <c r="C1325" s="250"/>
      <c r="D1325" s="235">
        <v>0.8</v>
      </c>
      <c r="E1325" s="235">
        <v>77.599999999999994</v>
      </c>
      <c r="F1325" s="235">
        <v>70.2</v>
      </c>
      <c r="G1325" s="235">
        <v>61.1</v>
      </c>
      <c r="H1325" s="235">
        <v>51</v>
      </c>
      <c r="I1325" s="235">
        <v>40.700000000000003</v>
      </c>
      <c r="J1325" s="235">
        <v>0</v>
      </c>
      <c r="K1325" s="235">
        <v>0</v>
      </c>
      <c r="L1325" s="235">
        <v>0</v>
      </c>
    </row>
    <row r="1326" spans="1:12" ht="12" hidden="1" customHeight="1">
      <c r="A1326" s="236"/>
      <c r="B1326" s="248"/>
      <c r="C1326" s="251"/>
      <c r="D1326" s="238">
        <v>1</v>
      </c>
      <c r="E1326" s="238">
        <v>82</v>
      </c>
      <c r="F1326" s="238">
        <v>72.3</v>
      </c>
      <c r="G1326" s="238">
        <v>62</v>
      </c>
      <c r="H1326" s="238">
        <v>51.3</v>
      </c>
      <c r="I1326" s="238">
        <v>0</v>
      </c>
      <c r="J1326" s="238">
        <v>0</v>
      </c>
      <c r="K1326" s="238">
        <v>0</v>
      </c>
      <c r="L1326" s="238">
        <v>0</v>
      </c>
    </row>
    <row r="1327" spans="1:12" ht="12" hidden="1" customHeight="1">
      <c r="A1327" s="241"/>
      <c r="B1327"/>
      <c r="C1327"/>
      <c r="D1327"/>
      <c r="E1327"/>
      <c r="F1327"/>
      <c r="G1327"/>
      <c r="H1327"/>
    </row>
    <row r="1328" spans="1:12" ht="12" hidden="1" customHeight="1">
      <c r="A1328" s="179" t="s">
        <v>2058</v>
      </c>
      <c r="B1328" t="s">
        <v>2059</v>
      </c>
      <c r="C1328"/>
      <c r="D1328"/>
      <c r="E1328"/>
      <c r="F1328"/>
      <c r="G1328"/>
      <c r="H1328"/>
    </row>
    <row r="1329" spans="1:14" ht="12" hidden="1" customHeight="1">
      <c r="A1329" s="242" t="s">
        <v>2060</v>
      </c>
      <c r="B1329" s="243"/>
      <c r="C1329" s="243"/>
      <c r="D1329" s="243"/>
      <c r="E1329" s="1325" t="s">
        <v>2049</v>
      </c>
      <c r="F1329" s="1326"/>
      <c r="G1329"/>
      <c r="H1329"/>
    </row>
    <row r="1330" spans="1:14" ht="12" hidden="1" customHeight="1">
      <c r="A1330" s="245" t="s">
        <v>2061</v>
      </c>
      <c r="B1330"/>
      <c r="C1330"/>
      <c r="D1330"/>
      <c r="E1330" s="1301" t="s">
        <v>2062</v>
      </c>
      <c r="F1330" s="1302"/>
      <c r="G1330"/>
      <c r="H1330"/>
    </row>
    <row r="1331" spans="1:14" ht="12" hidden="1" customHeight="1">
      <c r="A1331" s="242" t="s">
        <v>2063</v>
      </c>
      <c r="B1331" s="243"/>
      <c r="C1331" s="243"/>
      <c r="D1331" s="243"/>
      <c r="E1331" s="1325">
        <v>1</v>
      </c>
      <c r="F1331" s="1326"/>
      <c r="G1331"/>
      <c r="H1331"/>
    </row>
    <row r="1332" spans="1:14" ht="12" hidden="1" customHeight="1">
      <c r="A1332" s="245" t="s">
        <v>2064</v>
      </c>
      <c r="B1332"/>
      <c r="C1332"/>
      <c r="D1332"/>
      <c r="E1332" s="1322" t="s">
        <v>2065</v>
      </c>
      <c r="F1332" s="1323"/>
      <c r="G1332"/>
      <c r="H1332"/>
    </row>
    <row r="1333" spans="1:14" ht="12" hidden="1" customHeight="1">
      <c r="A1333" s="236" t="s">
        <v>2066</v>
      </c>
      <c r="B1333" s="248"/>
      <c r="C1333" s="248"/>
      <c r="D1333" s="248"/>
      <c r="E1333" s="1301"/>
      <c r="F1333" s="1302"/>
      <c r="G1333"/>
      <c r="H1333"/>
    </row>
    <row r="1334" spans="1:14" ht="12" hidden="1" customHeight="1">
      <c r="A1334" s="241"/>
      <c r="B1334"/>
      <c r="C1334"/>
      <c r="D1334"/>
      <c r="E1334"/>
      <c r="F1334"/>
      <c r="G1334"/>
      <c r="H1334"/>
    </row>
    <row r="1335" spans="1:14" ht="12" hidden="1" customHeight="1">
      <c r="A1335" s="179" t="s">
        <v>2067</v>
      </c>
      <c r="B1335" t="s">
        <v>2068</v>
      </c>
      <c r="C1335"/>
      <c r="D1335"/>
      <c r="E1335"/>
      <c r="F1335"/>
      <c r="G1335"/>
      <c r="H1335"/>
      <c r="I1335"/>
      <c r="J1335"/>
      <c r="K1335"/>
    </row>
    <row r="1336" spans="1:14" ht="12" hidden="1" customHeight="1">
      <c r="A1336" s="242"/>
      <c r="B1336" s="243"/>
      <c r="C1336" s="243"/>
      <c r="D1336" s="244"/>
      <c r="E1336" s="1304" t="s">
        <v>2069</v>
      </c>
      <c r="F1336" s="1306"/>
      <c r="G1336" s="1306"/>
      <c r="H1336" s="1306"/>
      <c r="I1336" s="1306"/>
      <c r="J1336" s="1306"/>
      <c r="K1336" s="1305"/>
    </row>
    <row r="1337" spans="1:14" ht="12" hidden="1" customHeight="1">
      <c r="A1337" s="236"/>
      <c r="B1337" s="248"/>
      <c r="C1337" s="248"/>
      <c r="D1337" s="251"/>
      <c r="E1337" s="255">
        <v>0.4</v>
      </c>
      <c r="F1337" s="255">
        <v>0.5</v>
      </c>
      <c r="G1337" s="255">
        <v>0.6</v>
      </c>
      <c r="H1337" s="255">
        <v>0.7</v>
      </c>
      <c r="I1337" s="255">
        <v>0.8</v>
      </c>
      <c r="J1337" s="255">
        <v>0.9</v>
      </c>
      <c r="K1337" s="255">
        <v>1</v>
      </c>
    </row>
    <row r="1338" spans="1:14" ht="12" hidden="1" customHeight="1">
      <c r="A1338" s="233" t="s">
        <v>2070</v>
      </c>
      <c r="B1338" s="254"/>
      <c r="C1338" s="233" t="s">
        <v>2071</v>
      </c>
      <c r="D1338" s="254"/>
      <c r="E1338" s="255">
        <v>0</v>
      </c>
      <c r="F1338" s="255">
        <v>5.9</v>
      </c>
      <c r="G1338" s="255">
        <v>11.8</v>
      </c>
      <c r="H1338" s="255">
        <v>17.7</v>
      </c>
      <c r="I1338" s="255">
        <v>23.7</v>
      </c>
      <c r="J1338" s="255">
        <v>29.6</v>
      </c>
      <c r="K1338" s="255">
        <v>35.5</v>
      </c>
    </row>
    <row r="1339" spans="1:14" ht="12" customHeight="1">
      <c r="E1339" s="213"/>
    </row>
    <row r="1340" spans="1:14" ht="13.8">
      <c r="A1340" s="65" t="s">
        <v>1967</v>
      </c>
      <c r="B1340" s="66"/>
      <c r="C1340" s="66"/>
      <c r="D1340" s="66"/>
      <c r="E1340" s="66"/>
      <c r="F1340" s="66"/>
      <c r="G1340" s="165"/>
      <c r="H1340" s="66"/>
      <c r="I1340" s="66"/>
      <c r="J1340" s="1"/>
      <c r="K1340" s="122">
        <f>ROW(A1341)</f>
        <v>1341</v>
      </c>
      <c r="L1340" s="122">
        <f>ROW(A1541)</f>
        <v>1541</v>
      </c>
      <c r="M1340" s="122"/>
      <c r="N1340" s="122"/>
    </row>
    <row r="1341" spans="1:14" ht="15.6" hidden="1">
      <c r="A1341" s="179" t="s">
        <v>2072</v>
      </c>
      <c r="B1341" t="s">
        <v>2073</v>
      </c>
      <c r="C1341"/>
      <c r="D1341"/>
      <c r="E1341"/>
      <c r="F1341"/>
      <c r="G1341"/>
      <c r="H1341"/>
      <c r="I1341"/>
    </row>
    <row r="1342" spans="1:14" ht="15.6" hidden="1">
      <c r="A1342" s="242" t="s">
        <v>1517</v>
      </c>
      <c r="B1342" s="243"/>
      <c r="C1342" s="244"/>
      <c r="D1342" s="242" t="s">
        <v>2074</v>
      </c>
      <c r="E1342" s="243"/>
      <c r="F1342" s="243"/>
      <c r="G1342" s="244"/>
      <c r="H1342" s="234" t="s">
        <v>2075</v>
      </c>
      <c r="I1342" s="234" t="s">
        <v>1973</v>
      </c>
    </row>
    <row r="1343" spans="1:14" ht="14.4" hidden="1">
      <c r="A1343" s="236"/>
      <c r="B1343" s="248"/>
      <c r="C1343" s="251"/>
      <c r="D1343" s="236"/>
      <c r="E1343" s="248"/>
      <c r="F1343" s="248"/>
      <c r="G1343" s="251"/>
      <c r="H1343" s="238" t="s">
        <v>208</v>
      </c>
      <c r="I1343" s="238"/>
    </row>
    <row r="1344" spans="1:14" ht="14.4" hidden="1">
      <c r="A1344" s="436" t="s">
        <v>2076</v>
      </c>
      <c r="B1344" s="243"/>
      <c r="C1344" s="243"/>
      <c r="D1344" s="242" t="s">
        <v>2077</v>
      </c>
      <c r="E1344" s="243"/>
      <c r="F1344" s="243"/>
      <c r="G1344" s="244"/>
      <c r="H1344" s="234"/>
      <c r="I1344" s="234"/>
    </row>
    <row r="1345" spans="1:9" ht="14.4" hidden="1">
      <c r="A1345" s="433" t="s">
        <v>2078</v>
      </c>
      <c r="B1345"/>
      <c r="C1345"/>
      <c r="D1345" s="245" t="s">
        <v>2079</v>
      </c>
      <c r="E1345"/>
      <c r="F1345"/>
      <c r="G1345" s="250"/>
      <c r="H1345" s="235"/>
      <c r="I1345" s="235"/>
    </row>
    <row r="1346" spans="1:9" ht="14.4" hidden="1">
      <c r="A1346" s="245" t="s">
        <v>2080</v>
      </c>
      <c r="B1346"/>
      <c r="C1346"/>
      <c r="D1346" s="245" t="s">
        <v>2081</v>
      </c>
      <c r="E1346"/>
      <c r="F1346"/>
      <c r="G1346" s="250"/>
      <c r="H1346" s="235">
        <v>3.3</v>
      </c>
      <c r="I1346" s="235"/>
    </row>
    <row r="1347" spans="1:9" ht="14.4" hidden="1">
      <c r="A1347" s="245" t="s">
        <v>2082</v>
      </c>
      <c r="B1347"/>
      <c r="C1347"/>
      <c r="D1347" s="245" t="s">
        <v>2083</v>
      </c>
      <c r="E1347"/>
      <c r="F1347"/>
      <c r="G1347" s="250"/>
      <c r="H1347" s="235">
        <v>1.1000000000000001</v>
      </c>
      <c r="I1347" s="235"/>
    </row>
    <row r="1348" spans="1:9" ht="16.2" hidden="1">
      <c r="A1348" s="245"/>
      <c r="B1348"/>
      <c r="C1348"/>
      <c r="D1348" s="245" t="s">
        <v>2084</v>
      </c>
      <c r="E1348"/>
      <c r="F1348"/>
      <c r="G1348" s="250"/>
      <c r="H1348" s="235">
        <v>0.7</v>
      </c>
      <c r="I1348" s="425">
        <v>1</v>
      </c>
    </row>
    <row r="1349" spans="1:9" ht="16.2" hidden="1">
      <c r="A1349" s="245"/>
      <c r="B1349"/>
      <c r="C1349"/>
      <c r="D1349" s="245" t="s">
        <v>2085</v>
      </c>
      <c r="E1349"/>
      <c r="F1349"/>
      <c r="G1349" s="250"/>
      <c r="H1349" s="235">
        <v>0.4</v>
      </c>
      <c r="I1349" s="425">
        <v>2</v>
      </c>
    </row>
    <row r="1350" spans="1:9" ht="15.6" hidden="1">
      <c r="A1350" s="245" t="s">
        <v>2086</v>
      </c>
      <c r="B1350"/>
      <c r="C1350"/>
      <c r="D1350" s="245"/>
      <c r="E1350"/>
      <c r="F1350"/>
      <c r="G1350" s="250"/>
      <c r="H1350" s="235" t="s">
        <v>2087</v>
      </c>
      <c r="I1350" s="235"/>
    </row>
    <row r="1351" spans="1:9" ht="14.4" hidden="1">
      <c r="A1351" s="236" t="s">
        <v>2088</v>
      </c>
      <c r="B1351" s="248"/>
      <c r="C1351" s="248"/>
      <c r="D1351" s="236"/>
      <c r="E1351" s="248"/>
      <c r="F1351" s="248"/>
      <c r="G1351" s="251"/>
      <c r="H1351" s="238"/>
      <c r="I1351" s="238"/>
    </row>
    <row r="1352" spans="1:9" ht="14.4" hidden="1">
      <c r="A1352" s="432" t="s">
        <v>2089</v>
      </c>
      <c r="B1352" s="243"/>
      <c r="C1352" s="243"/>
      <c r="D1352" s="242"/>
      <c r="E1352" s="243"/>
      <c r="F1352" s="243"/>
      <c r="G1352" s="244"/>
      <c r="H1352" s="234"/>
      <c r="I1352" s="234"/>
    </row>
    <row r="1353" spans="1:9" ht="14.4" hidden="1">
      <c r="A1353" s="245" t="s">
        <v>2090</v>
      </c>
      <c r="B1353"/>
      <c r="C1353"/>
      <c r="D1353" s="245" t="s">
        <v>2091</v>
      </c>
      <c r="E1353"/>
      <c r="F1353"/>
      <c r="G1353" s="250"/>
      <c r="H1353" s="235"/>
      <c r="I1353" s="235"/>
    </row>
    <row r="1354" spans="1:9" ht="14.4" hidden="1">
      <c r="A1354" s="245" t="s">
        <v>2092</v>
      </c>
      <c r="B1354"/>
      <c r="C1354"/>
      <c r="D1354" s="245" t="s">
        <v>2093</v>
      </c>
      <c r="E1354"/>
      <c r="F1354"/>
      <c r="G1354" s="250"/>
      <c r="H1354" s="235">
        <v>3.3</v>
      </c>
      <c r="I1354" s="235"/>
    </row>
    <row r="1355" spans="1:9" ht="14.4" hidden="1">
      <c r="A1355" s="245"/>
      <c r="B1355"/>
      <c r="C1355"/>
      <c r="D1355" s="245" t="s">
        <v>2094</v>
      </c>
      <c r="E1355"/>
      <c r="F1355"/>
      <c r="G1355" s="250"/>
      <c r="H1355" s="235">
        <v>1.1000000000000001</v>
      </c>
      <c r="I1355" s="235"/>
    </row>
    <row r="1356" spans="1:9" ht="16.2" hidden="1">
      <c r="A1356" s="245"/>
      <c r="B1356"/>
      <c r="C1356"/>
      <c r="D1356" s="245" t="s">
        <v>2084</v>
      </c>
      <c r="E1356"/>
      <c r="F1356"/>
      <c r="G1356" s="250"/>
      <c r="H1356" s="235">
        <v>0.7</v>
      </c>
      <c r="I1356" s="425">
        <v>1</v>
      </c>
    </row>
    <row r="1357" spans="1:9" ht="16.2" hidden="1">
      <c r="A1357" s="236"/>
      <c r="B1357" s="248"/>
      <c r="C1357" s="248"/>
      <c r="D1357" s="236" t="s">
        <v>2085</v>
      </c>
      <c r="E1357" s="248"/>
      <c r="F1357" s="248"/>
      <c r="G1357" s="251"/>
      <c r="H1357" s="238">
        <v>0.4</v>
      </c>
      <c r="I1357" s="426">
        <v>2</v>
      </c>
    </row>
    <row r="1358" spans="1:9" ht="14.4" hidden="1">
      <c r="A1358" s="437" t="s">
        <v>2095</v>
      </c>
      <c r="B1358"/>
      <c r="C1358"/>
      <c r="D1358" s="245"/>
      <c r="E1358"/>
      <c r="F1358"/>
      <c r="G1358" s="250"/>
      <c r="H1358" s="235"/>
      <c r="I1358" s="235"/>
    </row>
    <row r="1359" spans="1:9" ht="14.4" hidden="1">
      <c r="A1359" s="245" t="s">
        <v>2096</v>
      </c>
      <c r="B1359"/>
      <c r="C1359"/>
      <c r="D1359" s="245"/>
      <c r="E1359"/>
      <c r="F1359"/>
      <c r="G1359" s="250"/>
      <c r="H1359" s="235"/>
      <c r="I1359" s="235"/>
    </row>
    <row r="1360" spans="1:9" ht="14.4" hidden="1">
      <c r="A1360" s="245" t="s">
        <v>2097</v>
      </c>
      <c r="B1360"/>
      <c r="C1360"/>
      <c r="D1360" s="245"/>
      <c r="E1360"/>
      <c r="F1360"/>
      <c r="G1360" s="250"/>
      <c r="H1360" s="235"/>
      <c r="I1360" s="235"/>
    </row>
    <row r="1361" spans="1:19" ht="16.2" hidden="1">
      <c r="A1361" s="245" t="s">
        <v>2098</v>
      </c>
      <c r="B1361"/>
      <c r="C1361"/>
      <c r="D1361" s="245" t="s">
        <v>2099</v>
      </c>
      <c r="E1361"/>
      <c r="F1361"/>
      <c r="G1361" s="250"/>
      <c r="H1361" s="235">
        <v>0.7</v>
      </c>
      <c r="I1361" s="425">
        <v>3</v>
      </c>
    </row>
    <row r="1362" spans="1:19" ht="16.2" hidden="1">
      <c r="A1362" s="245" t="s">
        <v>2100</v>
      </c>
      <c r="B1362"/>
      <c r="C1362"/>
      <c r="D1362" s="245" t="s">
        <v>2099</v>
      </c>
      <c r="E1362"/>
      <c r="F1362"/>
      <c r="G1362" s="250"/>
      <c r="H1362" s="235">
        <v>4.4000000000000004</v>
      </c>
      <c r="I1362" s="425">
        <v>3</v>
      </c>
    </row>
    <row r="1363" spans="1:19" ht="15.6" hidden="1">
      <c r="A1363" s="245" t="s">
        <v>2086</v>
      </c>
      <c r="B1363"/>
      <c r="C1363"/>
      <c r="D1363" s="245" t="s">
        <v>2099</v>
      </c>
      <c r="E1363"/>
      <c r="F1363"/>
      <c r="G1363" s="250"/>
      <c r="H1363" s="235" t="s">
        <v>2087</v>
      </c>
      <c r="I1363" s="235"/>
    </row>
    <row r="1364" spans="1:19" ht="14.4" hidden="1">
      <c r="A1364" s="236" t="s">
        <v>2088</v>
      </c>
      <c r="B1364" s="248"/>
      <c r="C1364" s="248"/>
      <c r="D1364" s="236"/>
      <c r="E1364" s="248"/>
      <c r="F1364" s="248"/>
      <c r="G1364" s="251"/>
      <c r="H1364" s="238"/>
      <c r="I1364" s="238"/>
    </row>
    <row r="1365" spans="1:19" ht="16.2" hidden="1">
      <c r="A1365" s="241" t="s">
        <v>2101</v>
      </c>
      <c r="B1365"/>
      <c r="C1365"/>
      <c r="D1365"/>
      <c r="E1365"/>
      <c r="F1365"/>
      <c r="G1365"/>
      <c r="H1365"/>
      <c r="I1365"/>
    </row>
    <row r="1366" spans="1:19" ht="16.2" hidden="1">
      <c r="A1366" s="241" t="s">
        <v>2102</v>
      </c>
      <c r="B1366"/>
      <c r="C1366"/>
      <c r="D1366"/>
      <c r="E1366"/>
      <c r="F1366"/>
      <c r="G1366"/>
      <c r="H1366"/>
      <c r="I1366"/>
    </row>
    <row r="1367" spans="1:19" ht="16.2" hidden="1">
      <c r="A1367" s="241" t="s">
        <v>2103</v>
      </c>
      <c r="B1367"/>
      <c r="C1367"/>
      <c r="D1367"/>
      <c r="E1367"/>
      <c r="F1367"/>
      <c r="G1367"/>
      <c r="H1367"/>
      <c r="I1367"/>
    </row>
    <row r="1368" spans="1:19" ht="14.4" hidden="1">
      <c r="A1368"/>
      <c r="B1368"/>
      <c r="C1368"/>
      <c r="D1368"/>
      <c r="E1368"/>
      <c r="F1368"/>
      <c r="G1368"/>
      <c r="H1368"/>
      <c r="I1368"/>
    </row>
    <row r="1369" spans="1:19" ht="15.6" hidden="1">
      <c r="A1369" s="805" t="s">
        <v>2104</v>
      </c>
      <c r="B1369" s="806" t="s">
        <v>2105</v>
      </c>
      <c r="C1369" s="806"/>
      <c r="D1369" s="806"/>
      <c r="E1369" s="806"/>
      <c r="F1369" s="806"/>
      <c r="G1369" s="806"/>
      <c r="H1369" s="806"/>
      <c r="I1369" s="806"/>
    </row>
    <row r="1370" spans="1:19" ht="14.4" hidden="1">
      <c r="A1370" s="805"/>
      <c r="B1370" s="806" t="s">
        <v>2106</v>
      </c>
      <c r="C1370" s="806"/>
      <c r="D1370" s="806"/>
      <c r="E1370" s="806"/>
      <c r="F1370" s="806"/>
      <c r="G1370" s="806"/>
      <c r="H1370" s="806"/>
      <c r="I1370" s="806"/>
    </row>
    <row r="1371" spans="1:19" ht="15.6" hidden="1">
      <c r="A1371" s="807" t="s">
        <v>1496</v>
      </c>
      <c r="B1371" s="1338" t="s">
        <v>2107</v>
      </c>
      <c r="C1371" s="1339"/>
      <c r="D1371" s="1339"/>
      <c r="E1371" s="1339"/>
      <c r="F1371" s="1339"/>
      <c r="G1371" s="1339"/>
      <c r="H1371" s="1339"/>
      <c r="I1371" s="1340"/>
    </row>
    <row r="1372" spans="1:19" ht="14.4" hidden="1">
      <c r="A1372" s="809" t="s">
        <v>1498</v>
      </c>
      <c r="B1372" s="1338" t="s">
        <v>2108</v>
      </c>
      <c r="C1372" s="1339"/>
      <c r="D1372" s="1339"/>
      <c r="E1372" s="1339"/>
      <c r="F1372" s="1339"/>
      <c r="G1372" s="1339"/>
      <c r="H1372" s="1339"/>
      <c r="I1372" s="1340"/>
    </row>
    <row r="1373" spans="1:19" ht="14.4" hidden="1">
      <c r="A1373" s="809"/>
      <c r="B1373" s="1338" t="s">
        <v>2109</v>
      </c>
      <c r="C1373" s="1339"/>
      <c r="D1373" s="1339"/>
      <c r="E1373" s="1340"/>
      <c r="F1373" s="1338" t="s">
        <v>2110</v>
      </c>
      <c r="G1373" s="1339"/>
      <c r="H1373" s="1339"/>
      <c r="I1373" s="1340"/>
      <c r="S1373" s="338"/>
    </row>
    <row r="1374" spans="1:19" ht="14.4" hidden="1">
      <c r="A1374" s="808"/>
      <c r="B1374" s="810" t="s">
        <v>2111</v>
      </c>
      <c r="C1374" s="810" t="s">
        <v>2112</v>
      </c>
      <c r="D1374" s="810" t="s">
        <v>2113</v>
      </c>
      <c r="E1374" s="810" t="s">
        <v>2114</v>
      </c>
      <c r="F1374" s="810" t="s">
        <v>2111</v>
      </c>
      <c r="G1374" s="810" t="s">
        <v>2112</v>
      </c>
      <c r="H1374" s="810" t="s">
        <v>2113</v>
      </c>
      <c r="I1374" s="810" t="s">
        <v>2114</v>
      </c>
      <c r="P1374" s="324"/>
      <c r="S1374" s="324"/>
    </row>
    <row r="1375" spans="1:19" ht="14.4" hidden="1">
      <c r="A1375" s="807">
        <v>100</v>
      </c>
      <c r="B1375" s="809">
        <v>15.2</v>
      </c>
      <c r="C1375" s="809">
        <v>11.4</v>
      </c>
      <c r="D1375" s="809">
        <v>8.6</v>
      </c>
      <c r="E1375" s="809">
        <v>4.4000000000000004</v>
      </c>
      <c r="F1375" s="809">
        <v>13.8</v>
      </c>
      <c r="G1375" s="809">
        <v>10.3</v>
      </c>
      <c r="H1375" s="809">
        <v>7.8</v>
      </c>
      <c r="I1375" s="809">
        <v>4</v>
      </c>
      <c r="O1375" s="338"/>
      <c r="P1375" s="324"/>
      <c r="Q1375" s="338"/>
      <c r="R1375" s="338"/>
      <c r="S1375" s="324"/>
    </row>
    <row r="1376" spans="1:19" ht="14.4" hidden="1">
      <c r="A1376" s="809">
        <v>150</v>
      </c>
      <c r="B1376" s="809">
        <v>11.5</v>
      </c>
      <c r="C1376" s="809">
        <v>8.6</v>
      </c>
      <c r="D1376" s="809">
        <v>6.5</v>
      </c>
      <c r="E1376" s="809">
        <v>3.2</v>
      </c>
      <c r="F1376" s="809">
        <v>10.3</v>
      </c>
      <c r="G1376" s="809">
        <v>7.7</v>
      </c>
      <c r="H1376" s="809">
        <v>5.8</v>
      </c>
      <c r="I1376" s="809">
        <v>2.9</v>
      </c>
      <c r="P1376" s="324"/>
      <c r="Q1376" s="324"/>
      <c r="S1376" s="324"/>
    </row>
    <row r="1377" spans="1:19" ht="14.4" hidden="1">
      <c r="A1377" s="809">
        <v>200</v>
      </c>
      <c r="B1377" s="809">
        <v>9.6999999999999993</v>
      </c>
      <c r="C1377" s="809">
        <v>7.2</v>
      </c>
      <c r="D1377" s="809">
        <v>5.4</v>
      </c>
      <c r="E1377" s="809">
        <v>2.7</v>
      </c>
      <c r="F1377" s="809">
        <v>8.5</v>
      </c>
      <c r="G1377" s="809">
        <v>6.3</v>
      </c>
      <c r="H1377" s="809">
        <v>4.8</v>
      </c>
      <c r="I1377" s="809">
        <v>2.2999999999999998</v>
      </c>
      <c r="P1377" s="324"/>
      <c r="Q1377" s="324"/>
      <c r="S1377" s="324"/>
    </row>
    <row r="1378" spans="1:19" ht="14.4" hidden="1">
      <c r="A1378" s="809">
        <v>300</v>
      </c>
      <c r="B1378" s="809">
        <v>7.9</v>
      </c>
      <c r="C1378" s="809">
        <v>5.8</v>
      </c>
      <c r="D1378" s="809">
        <v>4.4000000000000004</v>
      </c>
      <c r="E1378" s="809">
        <v>2.1</v>
      </c>
      <c r="F1378" s="809">
        <v>6.8</v>
      </c>
      <c r="G1378" s="809">
        <v>5</v>
      </c>
      <c r="H1378" s="809">
        <v>3.7</v>
      </c>
      <c r="I1378" s="809">
        <v>1.8</v>
      </c>
      <c r="P1378" s="324"/>
      <c r="Q1378" s="324"/>
      <c r="S1378" s="324"/>
    </row>
    <row r="1379" spans="1:19" ht="14.4" hidden="1">
      <c r="A1379" s="809">
        <v>500</v>
      </c>
      <c r="B1379" s="809">
        <v>6.4</v>
      </c>
      <c r="C1379" s="809">
        <v>4.7</v>
      </c>
      <c r="D1379" s="809">
        <v>3.5</v>
      </c>
      <c r="E1379" s="809">
        <v>1.7</v>
      </c>
      <c r="F1379" s="809">
        <v>5.4</v>
      </c>
      <c r="G1379" s="809">
        <v>3.9</v>
      </c>
      <c r="H1379" s="809">
        <v>2.9</v>
      </c>
      <c r="I1379" s="809">
        <v>1.3</v>
      </c>
      <c r="P1379" s="324"/>
      <c r="Q1379" s="324"/>
      <c r="S1379" s="324"/>
    </row>
    <row r="1380" spans="1:19" ht="14.4" hidden="1">
      <c r="A1380" s="809">
        <v>750</v>
      </c>
      <c r="B1380" s="809">
        <v>5.7</v>
      </c>
      <c r="C1380" s="809">
        <v>4.2</v>
      </c>
      <c r="D1380" s="809">
        <v>3.1</v>
      </c>
      <c r="E1380" s="809">
        <v>1.4</v>
      </c>
      <c r="F1380" s="809">
        <v>4.5999999999999996</v>
      </c>
      <c r="G1380" s="809">
        <v>3.4</v>
      </c>
      <c r="H1380" s="809">
        <v>2.5</v>
      </c>
      <c r="I1380" s="809">
        <v>1.1000000000000001</v>
      </c>
      <c r="P1380" s="324"/>
      <c r="Q1380" s="324"/>
      <c r="S1380" s="324"/>
    </row>
    <row r="1381" spans="1:19" ht="14.4" hidden="1">
      <c r="A1381" s="811">
        <v>1000</v>
      </c>
      <c r="B1381" s="809">
        <v>5.3</v>
      </c>
      <c r="C1381" s="809">
        <v>3.9</v>
      </c>
      <c r="D1381" s="809">
        <v>2.9</v>
      </c>
      <c r="E1381" s="809">
        <v>1.3</v>
      </c>
      <c r="F1381" s="809">
        <v>4.3</v>
      </c>
      <c r="G1381" s="809">
        <v>3.1</v>
      </c>
      <c r="H1381" s="809">
        <v>2.2999999999999998</v>
      </c>
      <c r="I1381" s="809">
        <v>1</v>
      </c>
      <c r="P1381" s="324"/>
      <c r="Q1381" s="324"/>
      <c r="S1381" s="324"/>
    </row>
    <row r="1382" spans="1:19" ht="14.4" hidden="1">
      <c r="A1382" s="811">
        <v>1500</v>
      </c>
      <c r="B1382" s="809">
        <v>4.9000000000000004</v>
      </c>
      <c r="C1382" s="809">
        <v>3.6</v>
      </c>
      <c r="D1382" s="809">
        <v>2.7</v>
      </c>
      <c r="E1382" s="809">
        <v>1.2</v>
      </c>
      <c r="F1382" s="809">
        <v>3.9</v>
      </c>
      <c r="G1382" s="809">
        <v>2.9</v>
      </c>
      <c r="H1382" s="809">
        <v>2.1</v>
      </c>
      <c r="I1382" s="809">
        <v>0.9</v>
      </c>
      <c r="P1382" s="324"/>
      <c r="Q1382" s="324"/>
      <c r="S1382" s="324"/>
    </row>
    <row r="1383" spans="1:19" ht="14.4" hidden="1">
      <c r="A1383" s="811">
        <v>2500</v>
      </c>
      <c r="B1383" s="809">
        <v>4.5999999999999996</v>
      </c>
      <c r="C1383" s="809">
        <v>3.4</v>
      </c>
      <c r="D1383" s="809">
        <v>2.5</v>
      </c>
      <c r="E1383" s="809">
        <v>1.1000000000000001</v>
      </c>
      <c r="F1383" s="809">
        <v>3.7</v>
      </c>
      <c r="G1383" s="809">
        <v>2.7</v>
      </c>
      <c r="H1383" s="809">
        <v>1.9</v>
      </c>
      <c r="I1383" s="809">
        <v>0.8</v>
      </c>
      <c r="P1383" s="324"/>
      <c r="Q1383" s="324"/>
      <c r="S1383" s="324"/>
    </row>
    <row r="1384" spans="1:19" ht="14.4" hidden="1">
      <c r="A1384" s="811">
        <v>5000</v>
      </c>
      <c r="B1384" s="809">
        <v>4.4000000000000004</v>
      </c>
      <c r="C1384" s="809">
        <v>3.2</v>
      </c>
      <c r="D1384" s="809">
        <v>2.4</v>
      </c>
      <c r="E1384" s="809">
        <v>1.1000000000000001</v>
      </c>
      <c r="F1384" s="809">
        <v>3.4</v>
      </c>
      <c r="G1384" s="809">
        <v>2.5</v>
      </c>
      <c r="H1384" s="809">
        <v>1.8</v>
      </c>
      <c r="I1384" s="809">
        <v>0.8</v>
      </c>
      <c r="P1384" s="324"/>
      <c r="Q1384" s="324"/>
      <c r="S1384" s="324"/>
    </row>
    <row r="1385" spans="1:19" ht="14.4" hidden="1">
      <c r="A1385" s="812">
        <v>10000</v>
      </c>
      <c r="B1385" s="808">
        <v>4.3</v>
      </c>
      <c r="C1385" s="808">
        <v>3.1</v>
      </c>
      <c r="D1385" s="808">
        <v>2.2999999999999998</v>
      </c>
      <c r="E1385" s="808">
        <v>1</v>
      </c>
      <c r="F1385" s="808">
        <v>3.3</v>
      </c>
      <c r="G1385" s="808">
        <v>2.4</v>
      </c>
      <c r="H1385" s="808">
        <v>1.8</v>
      </c>
      <c r="I1385" s="808">
        <v>0.7</v>
      </c>
      <c r="P1385" s="324"/>
      <c r="Q1385" s="324"/>
    </row>
    <row r="1386" spans="1:19" ht="14.4" hidden="1">
      <c r="A1386"/>
      <c r="B1386"/>
      <c r="C1386"/>
      <c r="D1386"/>
      <c r="E1386"/>
      <c r="F1386"/>
      <c r="G1386"/>
      <c r="H1386"/>
      <c r="I1386"/>
    </row>
    <row r="1387" spans="1:19" ht="15.6" hidden="1">
      <c r="A1387" s="179" t="s">
        <v>2115</v>
      </c>
      <c r="B1387" t="s">
        <v>2105</v>
      </c>
      <c r="C1387"/>
      <c r="D1387"/>
      <c r="E1387"/>
      <c r="F1387"/>
      <c r="G1387"/>
      <c r="H1387"/>
      <c r="I1387"/>
    </row>
    <row r="1388" spans="1:19" ht="14.4" hidden="1">
      <c r="A1388" s="179"/>
      <c r="B1388" t="s">
        <v>2116</v>
      </c>
      <c r="C1388"/>
      <c r="D1388"/>
      <c r="E1388"/>
      <c r="F1388"/>
      <c r="G1388"/>
      <c r="H1388"/>
      <c r="I1388"/>
    </row>
    <row r="1389" spans="1:19" ht="15.6" hidden="1">
      <c r="A1389" s="234" t="s">
        <v>2117</v>
      </c>
      <c r="B1389" s="1304" t="s">
        <v>2107</v>
      </c>
      <c r="C1389" s="1306"/>
      <c r="D1389" s="1306"/>
      <c r="E1389" s="1306"/>
      <c r="F1389" s="1306"/>
      <c r="G1389" s="1306"/>
      <c r="H1389" s="1306"/>
      <c r="I1389" s="1305"/>
    </row>
    <row r="1390" spans="1:19" ht="14.4" hidden="1">
      <c r="A1390" s="235" t="s">
        <v>1498</v>
      </c>
      <c r="B1390" s="1304" t="s">
        <v>2118</v>
      </c>
      <c r="C1390" s="1306"/>
      <c r="D1390" s="1306"/>
      <c r="E1390" s="1306"/>
      <c r="F1390" s="1306"/>
      <c r="G1390" s="1306"/>
      <c r="H1390" s="1306"/>
      <c r="I1390" s="1305"/>
    </row>
    <row r="1391" spans="1:19" ht="14.4" hidden="1">
      <c r="A1391" s="235"/>
      <c r="B1391" s="1304" t="s">
        <v>2109</v>
      </c>
      <c r="C1391" s="1306"/>
      <c r="D1391" s="1306"/>
      <c r="E1391" s="1305"/>
      <c r="F1391" s="1304" t="s">
        <v>2110</v>
      </c>
      <c r="G1391" s="1306"/>
      <c r="H1391" s="1306"/>
      <c r="I1391" s="1305"/>
    </row>
    <row r="1392" spans="1:19" ht="14.4" hidden="1">
      <c r="A1392" s="238"/>
      <c r="B1392" s="255" t="s">
        <v>2111</v>
      </c>
      <c r="C1392" s="255" t="s">
        <v>2112</v>
      </c>
      <c r="D1392" s="255" t="s">
        <v>2113</v>
      </c>
      <c r="E1392" s="255" t="s">
        <v>2114</v>
      </c>
      <c r="F1392" s="255" t="s">
        <v>2111</v>
      </c>
      <c r="G1392" s="255" t="s">
        <v>2112</v>
      </c>
      <c r="H1392" s="255" t="s">
        <v>2113</v>
      </c>
      <c r="I1392" s="255" t="s">
        <v>2114</v>
      </c>
    </row>
    <row r="1393" spans="1:9" ht="14.4" hidden="1">
      <c r="A1393" s="234">
        <v>100</v>
      </c>
      <c r="B1393" s="235">
        <v>4.3</v>
      </c>
      <c r="C1393" s="235">
        <v>3.1</v>
      </c>
      <c r="D1393" s="235">
        <v>2.2000000000000002</v>
      </c>
      <c r="E1393" s="235">
        <v>0.8</v>
      </c>
      <c r="F1393" s="235">
        <v>4.0999999999999996</v>
      </c>
      <c r="G1393" s="235">
        <v>2.9</v>
      </c>
      <c r="H1393" s="235">
        <v>2.1</v>
      </c>
      <c r="I1393" s="235">
        <v>0.7</v>
      </c>
    </row>
    <row r="1394" spans="1:9" ht="14.4" hidden="1">
      <c r="A1394" s="235">
        <v>150</v>
      </c>
      <c r="B1394" s="235">
        <v>3.8</v>
      </c>
      <c r="C1394" s="235">
        <v>2.7</v>
      </c>
      <c r="D1394" s="235">
        <v>1.9</v>
      </c>
      <c r="E1394" s="235">
        <v>0.7</v>
      </c>
      <c r="F1394" s="235">
        <v>3.6</v>
      </c>
      <c r="G1394" s="235">
        <v>2.5</v>
      </c>
      <c r="H1394" s="235">
        <v>1.8</v>
      </c>
      <c r="I1394" s="235">
        <v>0.6</v>
      </c>
    </row>
    <row r="1395" spans="1:9" ht="14.4" hidden="1">
      <c r="A1395" s="235">
        <v>200</v>
      </c>
      <c r="B1395" s="235">
        <v>3.5</v>
      </c>
      <c r="C1395" s="235">
        <v>2.5</v>
      </c>
      <c r="D1395" s="235">
        <v>1.7</v>
      </c>
      <c r="E1395" s="235">
        <v>0.6</v>
      </c>
      <c r="F1395" s="235">
        <v>3.3</v>
      </c>
      <c r="G1395" s="235">
        <v>2.2999999999999998</v>
      </c>
      <c r="H1395" s="235">
        <v>1.6</v>
      </c>
      <c r="I1395" s="235">
        <v>0.6</v>
      </c>
    </row>
    <row r="1396" spans="1:9" ht="14.4" hidden="1">
      <c r="A1396" s="235">
        <v>300</v>
      </c>
      <c r="B1396" s="235">
        <v>3.2</v>
      </c>
      <c r="C1396" s="235">
        <v>2.2000000000000002</v>
      </c>
      <c r="D1396" s="235">
        <v>1.6</v>
      </c>
      <c r="E1396" s="235">
        <v>0.6</v>
      </c>
      <c r="F1396" s="235">
        <v>3</v>
      </c>
      <c r="G1396" s="235">
        <v>2.1</v>
      </c>
      <c r="H1396" s="235">
        <v>1.5</v>
      </c>
      <c r="I1396" s="235">
        <v>0.5</v>
      </c>
    </row>
    <row r="1397" spans="1:9" ht="14.4" hidden="1">
      <c r="A1397" s="235">
        <v>500</v>
      </c>
      <c r="B1397" s="235">
        <v>2.9</v>
      </c>
      <c r="C1397" s="235">
        <v>2.1</v>
      </c>
      <c r="D1397" s="235">
        <v>1.5</v>
      </c>
      <c r="E1397" s="235">
        <v>0.5</v>
      </c>
      <c r="F1397" s="235">
        <v>2.8</v>
      </c>
      <c r="G1397" s="235">
        <v>2</v>
      </c>
      <c r="H1397" s="235">
        <v>1.4</v>
      </c>
      <c r="I1397" s="235">
        <v>0.5</v>
      </c>
    </row>
    <row r="1398" spans="1:9" ht="14.4" hidden="1">
      <c r="A1398" s="235">
        <v>750</v>
      </c>
      <c r="B1398" s="235">
        <v>2.8</v>
      </c>
      <c r="C1398" s="235">
        <v>2</v>
      </c>
      <c r="D1398" s="235">
        <v>1.4</v>
      </c>
      <c r="E1398" s="235">
        <v>0.5</v>
      </c>
      <c r="F1398" s="235">
        <v>2.7</v>
      </c>
      <c r="G1398" s="235">
        <v>1.9</v>
      </c>
      <c r="H1398" s="235">
        <v>1.3</v>
      </c>
      <c r="I1398" s="235">
        <v>0.5</v>
      </c>
    </row>
    <row r="1399" spans="1:9" ht="14.4" hidden="1">
      <c r="A1399" s="239">
        <v>1000</v>
      </c>
      <c r="B1399" s="235">
        <v>2.8</v>
      </c>
      <c r="C1399" s="235">
        <v>2</v>
      </c>
      <c r="D1399" s="235">
        <v>1.4</v>
      </c>
      <c r="E1399" s="235">
        <v>0.5</v>
      </c>
      <c r="F1399" s="235">
        <v>2.6</v>
      </c>
      <c r="G1399" s="235">
        <v>1.8</v>
      </c>
      <c r="H1399" s="235">
        <v>1.3</v>
      </c>
      <c r="I1399" s="235">
        <v>0.5</v>
      </c>
    </row>
    <row r="1400" spans="1:9" ht="14.4" hidden="1">
      <c r="A1400" s="239">
        <v>1500</v>
      </c>
      <c r="B1400" s="235">
        <v>2.7</v>
      </c>
      <c r="C1400" s="235">
        <v>1.9</v>
      </c>
      <c r="D1400" s="235">
        <v>1.3</v>
      </c>
      <c r="E1400" s="235">
        <v>0.5</v>
      </c>
      <c r="F1400" s="235">
        <v>2.5</v>
      </c>
      <c r="G1400" s="235">
        <v>1.8</v>
      </c>
      <c r="H1400" s="235">
        <v>1.3</v>
      </c>
      <c r="I1400" s="235">
        <v>0.4</v>
      </c>
    </row>
    <row r="1401" spans="1:9" ht="14.4" hidden="1">
      <c r="A1401" s="239">
        <v>2500</v>
      </c>
      <c r="B1401" s="235">
        <v>2.7</v>
      </c>
      <c r="C1401" s="235">
        <v>1.9</v>
      </c>
      <c r="D1401" s="235">
        <v>1.3</v>
      </c>
      <c r="E1401" s="235">
        <v>0.5</v>
      </c>
      <c r="F1401" s="235">
        <v>2.5</v>
      </c>
      <c r="G1401" s="235">
        <v>1.8</v>
      </c>
      <c r="H1401" s="235">
        <v>1.2</v>
      </c>
      <c r="I1401" s="235">
        <v>0.4</v>
      </c>
    </row>
    <row r="1402" spans="1:9" ht="14.4" hidden="1">
      <c r="A1402" s="239">
        <v>5000</v>
      </c>
      <c r="B1402" s="235">
        <v>2.6</v>
      </c>
      <c r="C1402" s="235">
        <v>1.9</v>
      </c>
      <c r="D1402" s="235">
        <v>1.3</v>
      </c>
      <c r="E1402" s="235">
        <v>0.5</v>
      </c>
      <c r="F1402" s="235">
        <v>2.5</v>
      </c>
      <c r="G1402" s="235">
        <v>1.7</v>
      </c>
      <c r="H1402" s="235">
        <v>1.2</v>
      </c>
      <c r="I1402" s="235">
        <v>0.4</v>
      </c>
    </row>
    <row r="1403" spans="1:9" ht="14.4" hidden="1">
      <c r="A1403" s="240">
        <v>10000</v>
      </c>
      <c r="B1403" s="238">
        <v>2.6</v>
      </c>
      <c r="C1403" s="238">
        <v>1.8</v>
      </c>
      <c r="D1403" s="238">
        <v>1.3</v>
      </c>
      <c r="E1403" s="238">
        <v>0.5</v>
      </c>
      <c r="F1403" s="238">
        <v>2.4</v>
      </c>
      <c r="G1403" s="238">
        <v>1.7</v>
      </c>
      <c r="H1403" s="238">
        <v>1.2</v>
      </c>
      <c r="I1403" s="238">
        <v>0.4</v>
      </c>
    </row>
    <row r="1404" spans="1:9" ht="14.4" hidden="1">
      <c r="A1404"/>
      <c r="B1404"/>
      <c r="C1404"/>
      <c r="D1404"/>
      <c r="E1404"/>
      <c r="F1404"/>
      <c r="G1404"/>
      <c r="H1404"/>
      <c r="I1404"/>
    </row>
    <row r="1405" spans="1:9" ht="15.6" hidden="1">
      <c r="A1405" s="179" t="s">
        <v>2119</v>
      </c>
      <c r="B1405" t="s">
        <v>2120</v>
      </c>
      <c r="C1405"/>
      <c r="D1405"/>
      <c r="E1405"/>
      <c r="F1405"/>
      <c r="G1405"/>
      <c r="H1405"/>
      <c r="I1405"/>
    </row>
    <row r="1406" spans="1:9" ht="15.6" hidden="1">
      <c r="A1406" s="234" t="s">
        <v>1496</v>
      </c>
      <c r="B1406" s="1304" t="s">
        <v>2121</v>
      </c>
      <c r="C1406" s="1306"/>
      <c r="D1406" s="1306"/>
      <c r="E1406" s="1305"/>
      <c r="F1406" s="1304" t="s">
        <v>2122</v>
      </c>
      <c r="G1406" s="1306"/>
      <c r="H1406" s="1306"/>
      <c r="I1406" s="1305"/>
    </row>
    <row r="1407" spans="1:9" ht="14.4" hidden="1">
      <c r="A1407" s="235" t="s">
        <v>1498</v>
      </c>
      <c r="B1407" s="1325" t="s">
        <v>2123</v>
      </c>
      <c r="C1407" s="1327"/>
      <c r="D1407" s="1326"/>
      <c r="E1407" s="234" t="s">
        <v>2124</v>
      </c>
      <c r="F1407" s="1325" t="s">
        <v>2123</v>
      </c>
      <c r="G1407" s="1327"/>
      <c r="H1407" s="1326"/>
      <c r="I1407" s="234" t="s">
        <v>2124</v>
      </c>
    </row>
    <row r="1408" spans="1:9" ht="14.4" hidden="1">
      <c r="A1408" s="235"/>
      <c r="B1408" s="1301"/>
      <c r="C1408" s="1303"/>
      <c r="D1408" s="1302"/>
      <c r="E1408" s="238" t="s">
        <v>2125</v>
      </c>
      <c r="F1408" s="1301"/>
      <c r="G1408" s="1303"/>
      <c r="H1408" s="1302"/>
      <c r="I1408" s="238" t="s">
        <v>2125</v>
      </c>
    </row>
    <row r="1409" spans="1:9" ht="14.4" hidden="1">
      <c r="A1409" s="235"/>
      <c r="B1409" s="234" t="s">
        <v>2126</v>
      </c>
      <c r="C1409" s="234" t="s">
        <v>2127</v>
      </c>
      <c r="D1409" s="234" t="s">
        <v>2128</v>
      </c>
      <c r="E1409" s="234" t="s">
        <v>2129</v>
      </c>
      <c r="F1409" s="234" t="s">
        <v>2126</v>
      </c>
      <c r="G1409" s="234" t="s">
        <v>2127</v>
      </c>
      <c r="H1409" s="234" t="s">
        <v>2128</v>
      </c>
      <c r="I1409" s="234" t="s">
        <v>2129</v>
      </c>
    </row>
    <row r="1410" spans="1:9" ht="14.4" hidden="1">
      <c r="A1410" s="238"/>
      <c r="B1410" s="238" t="s">
        <v>2111</v>
      </c>
      <c r="C1410" s="238" t="s">
        <v>2112</v>
      </c>
      <c r="D1410" s="238" t="s">
        <v>2113</v>
      </c>
      <c r="E1410" s="238" t="s">
        <v>2114</v>
      </c>
      <c r="F1410" s="238" t="s">
        <v>2111</v>
      </c>
      <c r="G1410" s="238" t="s">
        <v>2112</v>
      </c>
      <c r="H1410" s="238" t="s">
        <v>2113</v>
      </c>
      <c r="I1410" s="238" t="s">
        <v>2114</v>
      </c>
    </row>
    <row r="1411" spans="1:9" ht="14.4" hidden="1">
      <c r="A1411" s="234">
        <v>100</v>
      </c>
      <c r="B1411" s="234">
        <v>1.69</v>
      </c>
      <c r="C1411" s="234">
        <v>1.85</v>
      </c>
      <c r="D1411" s="234">
        <v>1.98</v>
      </c>
      <c r="E1411" s="234">
        <v>3.52</v>
      </c>
      <c r="F1411" s="234">
        <v>2.02</v>
      </c>
      <c r="G1411" s="234">
        <v>2.2200000000000002</v>
      </c>
      <c r="H1411" s="234">
        <v>2.38</v>
      </c>
      <c r="I1411" s="234">
        <v>4.22</v>
      </c>
    </row>
    <row r="1412" spans="1:9" ht="14.4" hidden="1">
      <c r="A1412" s="235">
        <v>150</v>
      </c>
      <c r="B1412" s="235">
        <v>1.1200000000000001</v>
      </c>
      <c r="C1412" s="235">
        <v>1.24</v>
      </c>
      <c r="D1412" s="235">
        <v>1.35</v>
      </c>
      <c r="E1412" s="235">
        <v>2.4</v>
      </c>
      <c r="F1412" s="235">
        <v>1.42</v>
      </c>
      <c r="G1412" s="235">
        <v>1.56</v>
      </c>
      <c r="H1412" s="235">
        <v>1.71</v>
      </c>
      <c r="I1412" s="235">
        <v>3.03</v>
      </c>
    </row>
    <row r="1413" spans="1:9" ht="14.4" hidden="1">
      <c r="A1413" s="235">
        <v>200</v>
      </c>
      <c r="B1413" s="235">
        <v>0.86</v>
      </c>
      <c r="C1413" s="235">
        <v>0.95</v>
      </c>
      <c r="D1413" s="235">
        <v>1.06</v>
      </c>
      <c r="E1413" s="235">
        <v>1.88</v>
      </c>
      <c r="F1413" s="235">
        <v>1.1100000000000001</v>
      </c>
      <c r="G1413" s="235">
        <v>1.24</v>
      </c>
      <c r="H1413" s="235">
        <v>1.38</v>
      </c>
      <c r="I1413" s="235">
        <v>2.44</v>
      </c>
    </row>
    <row r="1414" spans="1:9" ht="14.4" hidden="1">
      <c r="A1414" s="235">
        <v>300</v>
      </c>
      <c r="B1414" s="235">
        <v>0.61</v>
      </c>
      <c r="C1414" s="235">
        <v>0.68</v>
      </c>
      <c r="D1414" s="235">
        <v>0.78</v>
      </c>
      <c r="E1414" s="235">
        <v>1.39</v>
      </c>
      <c r="F1414" s="235">
        <v>0.81</v>
      </c>
      <c r="G1414" s="235">
        <v>0.91</v>
      </c>
      <c r="H1414" s="235">
        <v>1.04</v>
      </c>
      <c r="I1414" s="235">
        <v>1.85</v>
      </c>
    </row>
    <row r="1415" spans="1:9" ht="14.4" hidden="1">
      <c r="A1415" s="235">
        <v>500</v>
      </c>
      <c r="B1415" s="235">
        <v>0.42</v>
      </c>
      <c r="C1415" s="235">
        <v>0.48</v>
      </c>
      <c r="D1415" s="235">
        <v>0.56999999999999995</v>
      </c>
      <c r="E1415" s="235">
        <v>1.01</v>
      </c>
      <c r="F1415" s="235">
        <v>0.56999999999999995</v>
      </c>
      <c r="G1415" s="235">
        <v>0.65</v>
      </c>
      <c r="H1415" s="235">
        <v>0.78</v>
      </c>
      <c r="I1415" s="235">
        <v>1.38</v>
      </c>
    </row>
    <row r="1416" spans="1:9" ht="14.4" hidden="1">
      <c r="A1416" s="235">
        <v>750</v>
      </c>
      <c r="B1416" s="235">
        <v>0.33</v>
      </c>
      <c r="C1416" s="235">
        <v>0.38</v>
      </c>
      <c r="D1416" s="235">
        <v>0.47</v>
      </c>
      <c r="E1416" s="235">
        <v>0.83</v>
      </c>
      <c r="F1416" s="235">
        <v>0.45</v>
      </c>
      <c r="G1416" s="235">
        <v>0.52</v>
      </c>
      <c r="H1416" s="235">
        <v>0.64</v>
      </c>
      <c r="I1416" s="235">
        <v>1.1399999999999999</v>
      </c>
    </row>
    <row r="1417" spans="1:9" ht="14.4" hidden="1">
      <c r="A1417" s="239">
        <v>1000</v>
      </c>
      <c r="B1417" s="235">
        <v>0.28000000000000003</v>
      </c>
      <c r="C1417" s="235">
        <v>0.33</v>
      </c>
      <c r="D1417" s="235">
        <v>0.42</v>
      </c>
      <c r="E1417" s="235">
        <v>0.74</v>
      </c>
      <c r="F1417" s="235">
        <v>0.39</v>
      </c>
      <c r="G1417" s="235">
        <v>0.46</v>
      </c>
      <c r="H1417" s="235">
        <v>0.57999999999999996</v>
      </c>
      <c r="I1417" s="235">
        <v>1.02</v>
      </c>
    </row>
    <row r="1418" spans="1:9" ht="14.4" hidden="1">
      <c r="A1418" s="239">
        <v>1500</v>
      </c>
      <c r="B1418" s="235">
        <v>0.23</v>
      </c>
      <c r="C1418" s="235">
        <v>0.28000000000000003</v>
      </c>
      <c r="D1418" s="235">
        <v>0.37</v>
      </c>
      <c r="E1418" s="235">
        <v>0.65</v>
      </c>
      <c r="F1418" s="235">
        <v>0.33</v>
      </c>
      <c r="G1418" s="235">
        <v>0.39</v>
      </c>
      <c r="H1418" s="235">
        <v>0.51</v>
      </c>
      <c r="I1418" s="235">
        <v>0.9</v>
      </c>
    </row>
    <row r="1419" spans="1:9" ht="14.4" hidden="1">
      <c r="A1419" s="239">
        <v>2500</v>
      </c>
      <c r="B1419" s="235">
        <v>0.2</v>
      </c>
      <c r="C1419" s="235">
        <v>0.24</v>
      </c>
      <c r="D1419" s="235">
        <v>0.33</v>
      </c>
      <c r="E1419" s="235">
        <v>0.57999999999999996</v>
      </c>
      <c r="F1419" s="235">
        <v>0.28000000000000003</v>
      </c>
      <c r="G1419" s="235">
        <v>0.34</v>
      </c>
      <c r="H1419" s="235">
        <v>0.46</v>
      </c>
      <c r="I1419" s="235">
        <v>0.81</v>
      </c>
    </row>
    <row r="1420" spans="1:9" ht="14.4" hidden="1">
      <c r="A1420" s="239">
        <v>5000</v>
      </c>
      <c r="B1420" s="235">
        <v>0.17</v>
      </c>
      <c r="C1420" s="235">
        <v>0.22</v>
      </c>
      <c r="D1420" s="235">
        <v>0.3</v>
      </c>
      <c r="E1420" s="235">
        <v>0.53</v>
      </c>
      <c r="F1420" s="235">
        <v>0.24</v>
      </c>
      <c r="G1420" s="235">
        <v>0.3</v>
      </c>
      <c r="H1420" s="235">
        <v>0.42</v>
      </c>
      <c r="I1420" s="235">
        <v>0.74</v>
      </c>
    </row>
    <row r="1421" spans="1:9" ht="14.4" hidden="1">
      <c r="A1421" s="240">
        <v>10000</v>
      </c>
      <c r="B1421" s="238">
        <v>0.16</v>
      </c>
      <c r="C1421" s="238">
        <v>0.2</v>
      </c>
      <c r="D1421" s="238">
        <v>0.28000000000000003</v>
      </c>
      <c r="E1421" s="238">
        <v>0.5</v>
      </c>
      <c r="F1421" s="238">
        <v>0.22</v>
      </c>
      <c r="G1421" s="238">
        <v>0.28000000000000003</v>
      </c>
      <c r="H1421" s="238">
        <v>0.4</v>
      </c>
      <c r="I1421" s="238">
        <v>0.7</v>
      </c>
    </row>
    <row r="1422" spans="1:9" ht="14.4" hidden="1">
      <c r="A1422"/>
      <c r="B1422"/>
      <c r="C1422"/>
      <c r="D1422"/>
      <c r="E1422"/>
      <c r="F1422"/>
      <c r="G1422"/>
      <c r="H1422"/>
      <c r="I1422"/>
    </row>
    <row r="1423" spans="1:9" ht="15.6" hidden="1">
      <c r="A1423" s="179" t="s">
        <v>2130</v>
      </c>
      <c r="B1423" t="s">
        <v>2131</v>
      </c>
      <c r="C1423"/>
      <c r="D1423"/>
      <c r="E1423"/>
      <c r="F1423"/>
      <c r="G1423"/>
      <c r="H1423"/>
      <c r="I1423"/>
    </row>
    <row r="1424" spans="1:9" ht="14.4" hidden="1">
      <c r="A1424" s="242" t="s">
        <v>1517</v>
      </c>
      <c r="B1424" s="244"/>
      <c r="C1424" s="1304" t="s">
        <v>2132</v>
      </c>
      <c r="D1424" s="1306"/>
      <c r="E1424" s="1306"/>
      <c r="F1424" s="1306"/>
      <c r="G1424" s="1306"/>
      <c r="H1424" s="1305"/>
      <c r="I1424"/>
    </row>
    <row r="1425" spans="1:9" ht="15.6" hidden="1">
      <c r="A1425" s="236"/>
      <c r="B1425" s="251"/>
      <c r="C1425" s="1304" t="s">
        <v>2133</v>
      </c>
      <c r="D1425" s="1306"/>
      <c r="E1425" s="1305"/>
      <c r="F1425" s="1304" t="s">
        <v>2134</v>
      </c>
      <c r="G1425" s="1306"/>
      <c r="H1425" s="1305"/>
      <c r="I1425"/>
    </row>
    <row r="1426" spans="1:9" ht="14.4" hidden="1">
      <c r="A1426" s="233" t="s">
        <v>2135</v>
      </c>
      <c r="B1426" s="254"/>
      <c r="C1426" s="1304">
        <v>0</v>
      </c>
      <c r="D1426" s="1306"/>
      <c r="E1426" s="1305"/>
      <c r="F1426" s="1304">
        <v>0</v>
      </c>
      <c r="G1426" s="1306"/>
      <c r="H1426" s="1305"/>
      <c r="I1426"/>
    </row>
    <row r="1427" spans="1:9" ht="14.4" hidden="1">
      <c r="A1427"/>
      <c r="B1427"/>
      <c r="C1427"/>
      <c r="D1427"/>
      <c r="E1427"/>
      <c r="F1427"/>
      <c r="G1427"/>
      <c r="H1427"/>
      <c r="I1427"/>
    </row>
    <row r="1428" spans="1:9" ht="15.6" hidden="1">
      <c r="A1428" s="179" t="s">
        <v>2136</v>
      </c>
      <c r="B1428" t="s">
        <v>2137</v>
      </c>
      <c r="C1428"/>
      <c r="D1428"/>
      <c r="E1428"/>
      <c r="F1428"/>
      <c r="G1428"/>
      <c r="H1428"/>
      <c r="I1428"/>
    </row>
    <row r="1429" spans="1:9" ht="15.6" hidden="1">
      <c r="A1429" s="234" t="s">
        <v>1496</v>
      </c>
      <c r="B1429" s="1304" t="s">
        <v>2138</v>
      </c>
      <c r="C1429" s="1306"/>
      <c r="D1429" s="1306"/>
      <c r="E1429" s="1306"/>
      <c r="F1429" s="1325" t="s">
        <v>2139</v>
      </c>
      <c r="G1429" s="1326"/>
      <c r="H1429"/>
      <c r="I1429"/>
    </row>
    <row r="1430" spans="1:9" ht="14.4" hidden="1">
      <c r="A1430" s="235" t="s">
        <v>1498</v>
      </c>
      <c r="B1430" s="1325" t="s">
        <v>2140</v>
      </c>
      <c r="C1430" s="1326"/>
      <c r="D1430" s="1325" t="s">
        <v>2141</v>
      </c>
      <c r="E1430" s="1327"/>
      <c r="F1430" s="1322" t="s">
        <v>208</v>
      </c>
      <c r="G1430" s="1323"/>
      <c r="H1430"/>
      <c r="I1430"/>
    </row>
    <row r="1431" spans="1:9" ht="14.4" hidden="1">
      <c r="A1431" s="235"/>
      <c r="B1431" s="1301" t="s">
        <v>2142</v>
      </c>
      <c r="C1431" s="1302"/>
      <c r="D1431" s="1301" t="s">
        <v>2142</v>
      </c>
      <c r="E1431" s="1303"/>
      <c r="F1431" s="1322"/>
      <c r="G1431" s="1323"/>
      <c r="H1431"/>
      <c r="I1431"/>
    </row>
    <row r="1432" spans="1:9" ht="14.4" hidden="1">
      <c r="A1432" s="238"/>
      <c r="B1432" s="255" t="s">
        <v>2113</v>
      </c>
      <c r="C1432" s="255" t="s">
        <v>2114</v>
      </c>
      <c r="D1432" s="255" t="s">
        <v>2113</v>
      </c>
      <c r="E1432" s="255" t="s">
        <v>2114</v>
      </c>
      <c r="F1432" s="236"/>
      <c r="G1432" s="251"/>
      <c r="H1432"/>
      <c r="I1432"/>
    </row>
    <row r="1433" spans="1:9" ht="14.4" hidden="1">
      <c r="A1433" s="234">
        <v>100</v>
      </c>
      <c r="B1433" s="234">
        <v>0.3</v>
      </c>
      <c r="C1433" s="234">
        <v>0.1</v>
      </c>
      <c r="D1433" s="234">
        <v>2.6</v>
      </c>
      <c r="E1433" s="234">
        <v>1.4</v>
      </c>
      <c r="F1433" s="1330">
        <v>0.63</v>
      </c>
      <c r="G1433" s="1330"/>
      <c r="H1433"/>
      <c r="I1433"/>
    </row>
    <row r="1434" spans="1:9" ht="14.4" hidden="1">
      <c r="A1434" s="235">
        <v>150</v>
      </c>
      <c r="B1434" s="235">
        <v>0.2</v>
      </c>
      <c r="C1434" s="235">
        <v>0.1</v>
      </c>
      <c r="D1434" s="235">
        <v>1.9</v>
      </c>
      <c r="E1434" s="235">
        <v>1</v>
      </c>
      <c r="F1434" s="1328">
        <v>0.43</v>
      </c>
      <c r="G1434" s="1328"/>
      <c r="H1434"/>
      <c r="I1434"/>
    </row>
    <row r="1435" spans="1:9" ht="14.4" hidden="1">
      <c r="A1435" s="235">
        <v>200</v>
      </c>
      <c r="B1435" s="235">
        <v>0.2</v>
      </c>
      <c r="C1435" s="235">
        <v>0.1</v>
      </c>
      <c r="D1435" s="235">
        <v>1.5</v>
      </c>
      <c r="E1435" s="235">
        <v>0.8</v>
      </c>
      <c r="F1435" s="1328">
        <v>0.34</v>
      </c>
      <c r="G1435" s="1328"/>
      <c r="H1435"/>
      <c r="I1435"/>
    </row>
    <row r="1436" spans="1:9" ht="14.4" hidden="1">
      <c r="A1436" s="235">
        <v>300</v>
      </c>
      <c r="B1436" s="235">
        <v>0.1</v>
      </c>
      <c r="C1436" s="235">
        <v>0</v>
      </c>
      <c r="D1436" s="235">
        <v>1.1000000000000001</v>
      </c>
      <c r="E1436" s="235">
        <v>0.6</v>
      </c>
      <c r="F1436" s="1328">
        <v>0.24</v>
      </c>
      <c r="G1436" s="1328"/>
      <c r="H1436"/>
      <c r="I1436"/>
    </row>
    <row r="1437" spans="1:9" ht="14.4" hidden="1">
      <c r="A1437" s="235">
        <v>500</v>
      </c>
      <c r="B1437" s="235">
        <v>0.1</v>
      </c>
      <c r="C1437" s="235">
        <v>0</v>
      </c>
      <c r="D1437" s="235">
        <v>0.7</v>
      </c>
      <c r="E1437" s="235">
        <v>0.4</v>
      </c>
      <c r="F1437" s="1328">
        <v>0.16</v>
      </c>
      <c r="G1437" s="1328"/>
      <c r="H1437"/>
      <c r="I1437"/>
    </row>
    <row r="1438" spans="1:9" ht="14.4" hidden="1">
      <c r="A1438" s="235">
        <v>750</v>
      </c>
      <c r="B1438" s="235">
        <v>0.1</v>
      </c>
      <c r="C1438" s="235">
        <v>0</v>
      </c>
      <c r="D1438" s="235">
        <v>0.5</v>
      </c>
      <c r="E1438" s="235">
        <v>0.3</v>
      </c>
      <c r="F1438" s="1328">
        <v>0.12</v>
      </c>
      <c r="G1438" s="1328"/>
      <c r="H1438"/>
      <c r="I1438"/>
    </row>
    <row r="1439" spans="1:9" ht="14.4" hidden="1">
      <c r="A1439" s="235">
        <v>1000</v>
      </c>
      <c r="B1439" s="235">
        <v>0</v>
      </c>
      <c r="C1439" s="235">
        <v>0</v>
      </c>
      <c r="D1439" s="235">
        <v>0.4</v>
      </c>
      <c r="E1439" s="235">
        <v>0.2</v>
      </c>
      <c r="F1439" s="1328">
        <v>0.1</v>
      </c>
      <c r="G1439" s="1328"/>
      <c r="H1439"/>
      <c r="I1439"/>
    </row>
    <row r="1440" spans="1:9" ht="14.4" hidden="1">
      <c r="A1440" s="235">
        <v>1500</v>
      </c>
      <c r="B1440" s="235">
        <v>0</v>
      </c>
      <c r="C1440" s="235">
        <v>0</v>
      </c>
      <c r="D1440" s="235">
        <v>0.3</v>
      </c>
      <c r="E1440" s="235">
        <v>0.2</v>
      </c>
      <c r="F1440" s="1328">
        <v>0.08</v>
      </c>
      <c r="G1440" s="1328"/>
      <c r="H1440"/>
      <c r="I1440"/>
    </row>
    <row r="1441" spans="1:9" ht="14.4" hidden="1">
      <c r="A1441" s="235">
        <v>2500</v>
      </c>
      <c r="B1441" s="235">
        <v>0</v>
      </c>
      <c r="C1441" s="235">
        <v>0</v>
      </c>
      <c r="D1441" s="235">
        <v>0.2</v>
      </c>
      <c r="E1441" s="235">
        <v>0.1</v>
      </c>
      <c r="F1441" s="1328">
        <v>7.0000000000000007E-2</v>
      </c>
      <c r="G1441" s="1328"/>
      <c r="H1441"/>
      <c r="I1441"/>
    </row>
    <row r="1442" spans="1:9" ht="14.4" hidden="1">
      <c r="A1442" s="235">
        <v>5000</v>
      </c>
      <c r="B1442" s="235">
        <v>0</v>
      </c>
      <c r="C1442" s="235">
        <v>0</v>
      </c>
      <c r="D1442" s="235">
        <v>0.2</v>
      </c>
      <c r="E1442" s="235">
        <v>0.1</v>
      </c>
      <c r="F1442" s="1328">
        <v>0.06</v>
      </c>
      <c r="G1442" s="1328"/>
      <c r="H1442"/>
      <c r="I1442"/>
    </row>
    <row r="1443" spans="1:9" ht="14.4" hidden="1">
      <c r="A1443" s="238">
        <v>10000</v>
      </c>
      <c r="B1443" s="238">
        <v>0</v>
      </c>
      <c r="C1443" s="238">
        <v>0</v>
      </c>
      <c r="D1443" s="238">
        <v>0.2</v>
      </c>
      <c r="E1443" s="238">
        <v>0.1</v>
      </c>
      <c r="F1443" s="1329">
        <v>0.05</v>
      </c>
      <c r="G1443" s="1329"/>
      <c r="H1443"/>
      <c r="I1443"/>
    </row>
    <row r="1444" spans="1:9" ht="14.4" hidden="1">
      <c r="A1444"/>
      <c r="B1444"/>
      <c r="C1444"/>
      <c r="D1444"/>
      <c r="E1444"/>
      <c r="F1444"/>
      <c r="G1444"/>
      <c r="H1444"/>
      <c r="I1444"/>
    </row>
    <row r="1445" spans="1:9" ht="15.6" hidden="1">
      <c r="A1445" s="179" t="s">
        <v>2143</v>
      </c>
      <c r="B1445" t="s">
        <v>2144</v>
      </c>
      <c r="C1445"/>
      <c r="D1445"/>
      <c r="E1445"/>
      <c r="F1445"/>
      <c r="G1445"/>
      <c r="H1445"/>
      <c r="I1445"/>
    </row>
    <row r="1446" spans="1:9" ht="16.8" hidden="1">
      <c r="A1446" s="242" t="s">
        <v>2145</v>
      </c>
      <c r="B1446" s="243"/>
      <c r="C1446" s="244"/>
      <c r="D1446" s="1325" t="s">
        <v>2146</v>
      </c>
      <c r="E1446" s="1327"/>
      <c r="F1446" s="1326"/>
      <c r="G1446" s="1325" t="s">
        <v>2146</v>
      </c>
      <c r="H1446" s="1327"/>
      <c r="I1446" s="1326"/>
    </row>
    <row r="1447" spans="1:9" ht="14.4" hidden="1">
      <c r="A1447" s="236"/>
      <c r="B1447" s="248"/>
      <c r="C1447" s="251"/>
      <c r="D1447" s="1301" t="s">
        <v>2147</v>
      </c>
      <c r="E1447" s="1303"/>
      <c r="F1447" s="1302"/>
      <c r="G1447" s="1301" t="s">
        <v>2148</v>
      </c>
      <c r="H1447" s="1303"/>
      <c r="I1447" s="1302"/>
    </row>
    <row r="1448" spans="1:9" ht="14.4" hidden="1">
      <c r="A1448" s="234" t="s">
        <v>717</v>
      </c>
      <c r="B1448" s="1330" t="s">
        <v>718</v>
      </c>
      <c r="C1448" s="1330"/>
      <c r="D1448" s="234" t="s">
        <v>717</v>
      </c>
      <c r="E1448" s="257" t="s">
        <v>718</v>
      </c>
      <c r="F1448" s="246"/>
      <c r="G1448" s="234" t="s">
        <v>717</v>
      </c>
      <c r="H1448" s="234" t="s">
        <v>718</v>
      </c>
      <c r="I1448" s="234" t="s">
        <v>719</v>
      </c>
    </row>
    <row r="1449" spans="1:9" ht="14.4" hidden="1">
      <c r="A1449" s="238" t="s">
        <v>2149</v>
      </c>
      <c r="B1449" s="1329" t="s">
        <v>2150</v>
      </c>
      <c r="C1449" s="1329"/>
      <c r="D1449" s="238"/>
      <c r="E1449" s="259"/>
      <c r="F1449" s="249"/>
      <c r="G1449" s="238"/>
      <c r="H1449" s="238"/>
      <c r="I1449" s="238" t="s">
        <v>2151</v>
      </c>
    </row>
    <row r="1450" spans="1:9" ht="14.4" hidden="1">
      <c r="A1450" s="234" t="s">
        <v>1595</v>
      </c>
      <c r="B1450" s="1330" t="s">
        <v>2152</v>
      </c>
      <c r="C1450" s="1330"/>
      <c r="D1450" s="234">
        <v>1</v>
      </c>
      <c r="E1450" s="257" t="s">
        <v>367</v>
      </c>
      <c r="F1450" s="246"/>
      <c r="G1450" s="234">
        <v>0.9</v>
      </c>
      <c r="H1450" s="234" t="s">
        <v>367</v>
      </c>
      <c r="I1450" s="234">
        <v>0.1</v>
      </c>
    </row>
    <row r="1451" spans="1:9" ht="14.4" hidden="1">
      <c r="A1451" s="235" t="s">
        <v>2153</v>
      </c>
      <c r="B1451" s="1328" t="s">
        <v>2154</v>
      </c>
      <c r="C1451" s="1328"/>
      <c r="D1451" s="235"/>
      <c r="E1451" s="258"/>
      <c r="F1451" s="247"/>
      <c r="G1451" s="235"/>
      <c r="H1451" s="235"/>
      <c r="I1451" s="235"/>
    </row>
    <row r="1452" spans="1:9" ht="14.4" hidden="1">
      <c r="A1452" s="235" t="s">
        <v>2095</v>
      </c>
      <c r="B1452" s="1328"/>
      <c r="C1452" s="1328"/>
      <c r="D1452" s="235"/>
      <c r="E1452" s="258"/>
      <c r="F1452" s="247"/>
      <c r="G1452" s="235"/>
      <c r="H1452" s="235"/>
      <c r="I1452" s="235"/>
    </row>
    <row r="1453" spans="1:9" ht="14.4" hidden="1">
      <c r="A1453" s="238" t="s">
        <v>2155</v>
      </c>
      <c r="B1453" s="1329"/>
      <c r="C1453" s="1329"/>
      <c r="D1453" s="238"/>
      <c r="E1453" s="259"/>
      <c r="F1453" s="249"/>
      <c r="G1453" s="238"/>
      <c r="H1453" s="238"/>
      <c r="I1453" s="238"/>
    </row>
    <row r="1454" spans="1:9" ht="14.4" hidden="1">
      <c r="A1454" s="235" t="s">
        <v>2153</v>
      </c>
      <c r="B1454" s="1328" t="s">
        <v>1595</v>
      </c>
      <c r="C1454" s="1328"/>
      <c r="D1454" s="235">
        <v>0.83</v>
      </c>
      <c r="E1454" s="258">
        <v>0.17</v>
      </c>
      <c r="F1454" s="247"/>
      <c r="G1454" s="235">
        <v>0.75</v>
      </c>
      <c r="H1454" s="235">
        <v>0.15</v>
      </c>
      <c r="I1454" s="235">
        <v>0.1</v>
      </c>
    </row>
    <row r="1455" spans="1:9" ht="14.4" hidden="1">
      <c r="A1455" s="255" t="s">
        <v>2153</v>
      </c>
      <c r="B1455" s="1337" t="s">
        <v>2156</v>
      </c>
      <c r="C1455" s="1337"/>
      <c r="D1455" s="255">
        <v>0.95</v>
      </c>
      <c r="E1455" s="256">
        <v>0.05</v>
      </c>
      <c r="F1455" s="421"/>
      <c r="G1455" s="255">
        <v>0.85</v>
      </c>
      <c r="H1455" s="255">
        <v>0.05</v>
      </c>
      <c r="I1455" s="255">
        <v>0.1</v>
      </c>
    </row>
    <row r="1456" spans="1:9" ht="14.4" hidden="1">
      <c r="A1456" s="238" t="s">
        <v>2157</v>
      </c>
      <c r="B1456" s="1329" t="s">
        <v>1595</v>
      </c>
      <c r="C1456" s="1329"/>
      <c r="D1456" s="238">
        <v>0.7</v>
      </c>
      <c r="E1456" s="259">
        <v>0.3</v>
      </c>
      <c r="F1456" s="249"/>
      <c r="G1456" s="238" t="s">
        <v>367</v>
      </c>
      <c r="H1456" s="238" t="s">
        <v>367</v>
      </c>
      <c r="I1456" s="238" t="s">
        <v>367</v>
      </c>
    </row>
    <row r="1457" spans="1:13" ht="16.2" hidden="1">
      <c r="A1457" s="241" t="s">
        <v>2158</v>
      </c>
      <c r="B1457"/>
      <c r="C1457"/>
      <c r="D1457"/>
      <c r="E1457"/>
      <c r="F1457"/>
      <c r="G1457"/>
      <c r="H1457"/>
      <c r="I1457"/>
    </row>
    <row r="1458" spans="1:13" hidden="1">
      <c r="E1458" s="213"/>
    </row>
    <row r="1459" spans="1:13" ht="15.6" hidden="1">
      <c r="A1459" s="438" t="s">
        <v>2159</v>
      </c>
      <c r="B1459" s="439" t="s">
        <v>2160</v>
      </c>
      <c r="C1459"/>
      <c r="D1459"/>
      <c r="E1459"/>
      <c r="F1459"/>
      <c r="G1459"/>
      <c r="H1459"/>
      <c r="I1459"/>
      <c r="J1459"/>
      <c r="K1459"/>
      <c r="L1459"/>
      <c r="M1459"/>
    </row>
    <row r="1460" spans="1:13" ht="15.6" hidden="1">
      <c r="A1460" s="234" t="s">
        <v>1496</v>
      </c>
      <c r="B1460" s="1325" t="s">
        <v>1583</v>
      </c>
      <c r="C1460" s="1327"/>
      <c r="D1460" s="1327"/>
      <c r="E1460" s="1327"/>
      <c r="F1460" s="1327"/>
      <c r="G1460" s="1327"/>
      <c r="H1460" s="1327"/>
      <c r="I1460" s="1327"/>
      <c r="J1460" s="1327"/>
      <c r="K1460" s="1326"/>
      <c r="L1460" s="1325" t="s">
        <v>1490</v>
      </c>
      <c r="M1460" s="1326"/>
    </row>
    <row r="1461" spans="1:13" ht="15.6" hidden="1">
      <c r="A1461" s="235" t="s">
        <v>1498</v>
      </c>
      <c r="B1461" s="1301" t="s">
        <v>2168</v>
      </c>
      <c r="C1461" s="1303"/>
      <c r="D1461" s="1303"/>
      <c r="E1461" s="1303"/>
      <c r="F1461" s="1303"/>
      <c r="G1461" s="1303"/>
      <c r="H1461" s="1303"/>
      <c r="I1461" s="1303"/>
      <c r="J1461" s="1303"/>
      <c r="K1461" s="1302"/>
      <c r="L1461" s="1322" t="s">
        <v>2169</v>
      </c>
      <c r="M1461" s="1323"/>
    </row>
    <row r="1462" spans="1:13" ht="14.4" hidden="1">
      <c r="A1462" s="235"/>
      <c r="B1462" s="234" t="s">
        <v>1586</v>
      </c>
      <c r="C1462" s="1325" t="s">
        <v>450</v>
      </c>
      <c r="D1462" s="1327"/>
      <c r="E1462" s="1326"/>
      <c r="F1462" s="1325" t="s">
        <v>451</v>
      </c>
      <c r="G1462" s="1327"/>
      <c r="H1462" s="1326"/>
      <c r="I1462" s="1325" t="s">
        <v>452</v>
      </c>
      <c r="J1462" s="1327"/>
      <c r="K1462" s="1326"/>
      <c r="L1462" s="245"/>
      <c r="M1462" s="250"/>
    </row>
    <row r="1463" spans="1:13" ht="14.4" hidden="1">
      <c r="A1463" s="235"/>
      <c r="B1463" s="235" t="s">
        <v>1591</v>
      </c>
      <c r="C1463" s="1322"/>
      <c r="D1463" s="1324"/>
      <c r="E1463" s="1323"/>
      <c r="F1463" s="1322"/>
      <c r="G1463" s="1324"/>
      <c r="H1463" s="1323"/>
      <c r="I1463" s="1322"/>
      <c r="J1463" s="1324"/>
      <c r="K1463" s="1323"/>
      <c r="L1463" s="245"/>
      <c r="M1463" s="250"/>
    </row>
    <row r="1464" spans="1:13" ht="14.4" hidden="1">
      <c r="A1464" s="235"/>
      <c r="B1464" s="235" t="s">
        <v>1596</v>
      </c>
      <c r="C1464" s="1322"/>
      <c r="D1464" s="1324"/>
      <c r="E1464" s="1323"/>
      <c r="F1464" s="1322"/>
      <c r="G1464" s="1324"/>
      <c r="H1464" s="1323"/>
      <c r="I1464" s="1322"/>
      <c r="J1464" s="1324"/>
      <c r="K1464" s="1323"/>
      <c r="L1464" s="245"/>
      <c r="M1464" s="250"/>
    </row>
    <row r="1465" spans="1:13" ht="14.4" hidden="1">
      <c r="A1465" s="231"/>
      <c r="B1465" s="238" t="s">
        <v>1599</v>
      </c>
      <c r="C1465" s="1301"/>
      <c r="D1465" s="1303"/>
      <c r="E1465" s="1302"/>
      <c r="F1465" s="1301"/>
      <c r="G1465" s="1303"/>
      <c r="H1465" s="1302"/>
      <c r="I1465" s="1301"/>
      <c r="J1465" s="1303"/>
      <c r="K1465" s="1302"/>
      <c r="L1465" s="245"/>
      <c r="M1465" s="250"/>
    </row>
    <row r="1466" spans="1:13" ht="14.4" hidden="1">
      <c r="A1466" s="238"/>
      <c r="B1466" s="255" t="s">
        <v>2161</v>
      </c>
      <c r="C1466" s="255" t="s">
        <v>1038</v>
      </c>
      <c r="D1466" s="255" t="s">
        <v>942</v>
      </c>
      <c r="E1466" s="255" t="s">
        <v>2162</v>
      </c>
      <c r="F1466" s="255" t="s">
        <v>1038</v>
      </c>
      <c r="G1466" s="255" t="s">
        <v>942</v>
      </c>
      <c r="H1466" s="255" t="s">
        <v>2162</v>
      </c>
      <c r="I1466" s="255" t="s">
        <v>1038</v>
      </c>
      <c r="J1466" s="255" t="s">
        <v>942</v>
      </c>
      <c r="K1466" s="255" t="s">
        <v>2162</v>
      </c>
      <c r="L1466" s="236"/>
      <c r="M1466" s="251"/>
    </row>
    <row r="1467" spans="1:13" ht="14.4" hidden="1">
      <c r="A1467" s="234">
        <v>100</v>
      </c>
      <c r="B1467" s="234">
        <v>1.38</v>
      </c>
      <c r="C1467" s="234">
        <v>1.1499999999999999</v>
      </c>
      <c r="D1467" s="234">
        <v>1.1399999999999999</v>
      </c>
      <c r="E1467" s="234">
        <v>1.1200000000000001</v>
      </c>
      <c r="F1467" s="234">
        <v>1.08</v>
      </c>
      <c r="G1467" s="234">
        <v>1.05</v>
      </c>
      <c r="H1467" s="234">
        <v>1</v>
      </c>
      <c r="I1467" s="234">
        <v>1.03</v>
      </c>
      <c r="J1467" s="234">
        <v>1</v>
      </c>
      <c r="K1467" s="234">
        <v>0.95</v>
      </c>
      <c r="L1467" s="1330">
        <v>0.79</v>
      </c>
      <c r="M1467" s="1330"/>
    </row>
    <row r="1468" spans="1:13" ht="14.4" hidden="1">
      <c r="A1468" s="235">
        <v>150</v>
      </c>
      <c r="B1468" s="235">
        <v>1.33</v>
      </c>
      <c r="C1468" s="235">
        <v>1.1399999999999999</v>
      </c>
      <c r="D1468" s="235">
        <v>1.1299999999999999</v>
      </c>
      <c r="E1468" s="235">
        <v>1.1100000000000001</v>
      </c>
      <c r="F1468" s="235">
        <v>1.07</v>
      </c>
      <c r="G1468" s="235">
        <v>1.05</v>
      </c>
      <c r="H1468" s="235">
        <v>1</v>
      </c>
      <c r="I1468" s="235">
        <v>1.02</v>
      </c>
      <c r="J1468" s="235">
        <v>0.99</v>
      </c>
      <c r="K1468" s="235">
        <v>0.95</v>
      </c>
      <c r="L1468" s="1328">
        <v>0.66</v>
      </c>
      <c r="M1468" s="1328"/>
    </row>
    <row r="1469" spans="1:13" ht="14.4" hidden="1">
      <c r="A1469" s="235">
        <v>200</v>
      </c>
      <c r="B1469" s="235">
        <v>1.3</v>
      </c>
      <c r="C1469" s="235">
        <v>1.1299999999999999</v>
      </c>
      <c r="D1469" s="235">
        <v>1.1200000000000001</v>
      </c>
      <c r="E1469" s="235">
        <v>1.1100000000000001</v>
      </c>
      <c r="F1469" s="235">
        <v>1.07</v>
      </c>
      <c r="G1469" s="235">
        <v>1.04</v>
      </c>
      <c r="H1469" s="235">
        <v>0.99</v>
      </c>
      <c r="I1469" s="235">
        <v>1.01</v>
      </c>
      <c r="J1469" s="235">
        <v>0.99</v>
      </c>
      <c r="K1469" s="235">
        <v>0.95</v>
      </c>
      <c r="L1469" s="1328">
        <v>0.57999999999999996</v>
      </c>
      <c r="M1469" s="1328"/>
    </row>
    <row r="1470" spans="1:13" ht="14.4" hidden="1">
      <c r="A1470" s="235">
        <v>300</v>
      </c>
      <c r="B1470" s="235">
        <v>1.27</v>
      </c>
      <c r="C1470" s="235">
        <v>1.1200000000000001</v>
      </c>
      <c r="D1470" s="235">
        <v>1.1200000000000001</v>
      </c>
      <c r="E1470" s="235">
        <v>1.1000000000000001</v>
      </c>
      <c r="F1470" s="235">
        <v>1.06</v>
      </c>
      <c r="G1470" s="235">
        <v>1.04</v>
      </c>
      <c r="H1470" s="235">
        <v>0.99</v>
      </c>
      <c r="I1470" s="235">
        <v>1.01</v>
      </c>
      <c r="J1470" s="235">
        <v>0.98</v>
      </c>
      <c r="K1470" s="235">
        <v>0.95</v>
      </c>
      <c r="L1470" s="1328">
        <v>0.48</v>
      </c>
      <c r="M1470" s="1328"/>
    </row>
    <row r="1471" spans="1:13" ht="14.4" hidden="1">
      <c r="A1471" s="235">
        <v>500</v>
      </c>
      <c r="B1471" s="235">
        <v>1.23</v>
      </c>
      <c r="C1471" s="235">
        <v>1.1100000000000001</v>
      </c>
      <c r="D1471" s="235">
        <v>1.1100000000000001</v>
      </c>
      <c r="E1471" s="235">
        <v>1.1000000000000001</v>
      </c>
      <c r="F1471" s="235">
        <v>1.05</v>
      </c>
      <c r="G1471" s="235">
        <v>1.03</v>
      </c>
      <c r="H1471" s="235">
        <v>0.99</v>
      </c>
      <c r="I1471" s="235">
        <v>1</v>
      </c>
      <c r="J1471" s="235">
        <v>0.98</v>
      </c>
      <c r="K1471" s="235">
        <v>0.94</v>
      </c>
      <c r="L1471" s="1328">
        <v>0.38</v>
      </c>
      <c r="M1471" s="1328"/>
    </row>
    <row r="1472" spans="1:13" ht="14.4" hidden="1">
      <c r="A1472" s="235">
        <v>750</v>
      </c>
      <c r="B1472" s="235">
        <v>1.21</v>
      </c>
      <c r="C1472" s="235">
        <v>1.1100000000000001</v>
      </c>
      <c r="D1472" s="235">
        <v>1.1000000000000001</v>
      </c>
      <c r="E1472" s="235">
        <v>1.1000000000000001</v>
      </c>
      <c r="F1472" s="235">
        <v>1.05</v>
      </c>
      <c r="G1472" s="235">
        <v>1.03</v>
      </c>
      <c r="H1472" s="235">
        <v>0.99</v>
      </c>
      <c r="I1472" s="235">
        <v>1</v>
      </c>
      <c r="J1472" s="235">
        <v>0.98</v>
      </c>
      <c r="K1472" s="235">
        <v>0.94</v>
      </c>
      <c r="L1472" s="1328">
        <v>0.31</v>
      </c>
      <c r="M1472" s="1328"/>
    </row>
    <row r="1473" spans="1:13" ht="14.4" hidden="1">
      <c r="A1473" s="239">
        <v>1000</v>
      </c>
      <c r="B1473" s="235">
        <v>1.2</v>
      </c>
      <c r="C1473" s="235">
        <v>1.1000000000000001</v>
      </c>
      <c r="D1473" s="235">
        <v>1.1000000000000001</v>
      </c>
      <c r="E1473" s="235">
        <v>1.0900000000000001</v>
      </c>
      <c r="F1473" s="235">
        <v>1.05</v>
      </c>
      <c r="G1473" s="235">
        <v>1.02</v>
      </c>
      <c r="H1473" s="235">
        <v>0.99</v>
      </c>
      <c r="I1473" s="235">
        <v>0.99</v>
      </c>
      <c r="J1473" s="235">
        <v>0.97</v>
      </c>
      <c r="K1473" s="235">
        <v>0.94</v>
      </c>
      <c r="L1473" s="1328">
        <v>0.27</v>
      </c>
      <c r="M1473" s="1328"/>
    </row>
    <row r="1474" spans="1:13" ht="14.4" hidden="1">
      <c r="A1474" s="239">
        <v>1500</v>
      </c>
      <c r="B1474" s="235">
        <v>1.18</v>
      </c>
      <c r="C1474" s="235">
        <v>1.1000000000000001</v>
      </c>
      <c r="D1474" s="235">
        <v>1.0900000000000001</v>
      </c>
      <c r="E1474" s="235">
        <v>1.0900000000000001</v>
      </c>
      <c r="F1474" s="235">
        <v>1.04</v>
      </c>
      <c r="G1474" s="235">
        <v>1.02</v>
      </c>
      <c r="H1474" s="235">
        <v>0.98</v>
      </c>
      <c r="I1474" s="235">
        <v>0.99</v>
      </c>
      <c r="J1474" s="235">
        <v>0.97</v>
      </c>
      <c r="K1474" s="235">
        <v>0.94</v>
      </c>
      <c r="L1474" s="1328">
        <v>0.23</v>
      </c>
      <c r="M1474" s="1328"/>
    </row>
    <row r="1475" spans="1:13" ht="14.4" hidden="1">
      <c r="A1475" s="239">
        <v>2500</v>
      </c>
      <c r="B1475" s="235">
        <v>1.1599999999999999</v>
      </c>
      <c r="C1475" s="235">
        <v>1.0900000000000001</v>
      </c>
      <c r="D1475" s="235">
        <v>1.0900000000000001</v>
      </c>
      <c r="E1475" s="235">
        <v>1.0900000000000001</v>
      </c>
      <c r="F1475" s="235">
        <v>1.04</v>
      </c>
      <c r="G1475" s="235">
        <v>1.02</v>
      </c>
      <c r="H1475" s="235">
        <v>0.98</v>
      </c>
      <c r="I1475" s="235">
        <v>0.99</v>
      </c>
      <c r="J1475" s="235">
        <v>0.97</v>
      </c>
      <c r="K1475" s="235">
        <v>0.94</v>
      </c>
      <c r="L1475" s="1328">
        <v>0.18</v>
      </c>
      <c r="M1475" s="1328"/>
    </row>
    <row r="1476" spans="1:13" ht="14.4" hidden="1">
      <c r="A1476" s="239">
        <v>5000</v>
      </c>
      <c r="B1476" s="235">
        <v>1.1399999999999999</v>
      </c>
      <c r="C1476" s="235">
        <v>1.0900000000000001</v>
      </c>
      <c r="D1476" s="235">
        <v>1.08</v>
      </c>
      <c r="E1476" s="235">
        <v>1.08</v>
      </c>
      <c r="F1476" s="235">
        <v>1.03</v>
      </c>
      <c r="G1476" s="235">
        <v>1.01</v>
      </c>
      <c r="H1476" s="235">
        <v>0.98</v>
      </c>
      <c r="I1476" s="235">
        <v>0.98</v>
      </c>
      <c r="J1476" s="235">
        <v>0.97</v>
      </c>
      <c r="K1476" s="235">
        <v>0.93</v>
      </c>
      <c r="L1476" s="1328">
        <v>0.13</v>
      </c>
      <c r="M1476" s="1328"/>
    </row>
    <row r="1477" spans="1:13" ht="14.4" hidden="1">
      <c r="A1477" s="240">
        <v>10000</v>
      </c>
      <c r="B1477" s="238">
        <v>1.1299999999999999</v>
      </c>
      <c r="C1477" s="238">
        <v>1.08</v>
      </c>
      <c r="D1477" s="238">
        <v>1.08</v>
      </c>
      <c r="E1477" s="238">
        <v>1.08</v>
      </c>
      <c r="F1477" s="238">
        <v>1.03</v>
      </c>
      <c r="G1477" s="238">
        <v>1.01</v>
      </c>
      <c r="H1477" s="238">
        <v>0.98</v>
      </c>
      <c r="I1477" s="238">
        <v>0.98</v>
      </c>
      <c r="J1477" s="238">
        <v>0.96</v>
      </c>
      <c r="K1477" s="238">
        <v>0.93</v>
      </c>
      <c r="L1477" s="1329">
        <v>0.09</v>
      </c>
      <c r="M1477" s="1329"/>
    </row>
    <row r="1478" spans="1:13" ht="14.4" hidden="1">
      <c r="A1478" s="234"/>
      <c r="B1478" s="1304" t="s">
        <v>2163</v>
      </c>
      <c r="C1478" s="1306"/>
      <c r="D1478" s="1306"/>
      <c r="E1478" s="1306"/>
      <c r="F1478" s="1306"/>
      <c r="G1478" s="1306"/>
      <c r="H1478" s="1306"/>
      <c r="I1478" s="1306"/>
      <c r="J1478" s="1306"/>
      <c r="K1478" s="1305"/>
      <c r="L1478" s="1325"/>
      <c r="M1478" s="1326"/>
    </row>
    <row r="1479" spans="1:13" ht="14.4" hidden="1">
      <c r="A1479" s="235"/>
      <c r="B1479" s="234" t="s">
        <v>2161</v>
      </c>
      <c r="C1479" s="234" t="s">
        <v>1038</v>
      </c>
      <c r="D1479" s="234" t="s">
        <v>942</v>
      </c>
      <c r="E1479" s="234" t="s">
        <v>2162</v>
      </c>
      <c r="F1479" s="234" t="s">
        <v>1038</v>
      </c>
      <c r="G1479" s="234" t="s">
        <v>942</v>
      </c>
      <c r="H1479" s="234" t="s">
        <v>2162</v>
      </c>
      <c r="I1479" s="234" t="s">
        <v>1038</v>
      </c>
      <c r="J1479" s="234" t="s">
        <v>942</v>
      </c>
      <c r="K1479" s="234" t="s">
        <v>2162</v>
      </c>
      <c r="L1479" s="1328"/>
      <c r="M1479" s="1328"/>
    </row>
    <row r="1480" spans="1:13" ht="14.4" hidden="1">
      <c r="A1480" s="234">
        <v>100</v>
      </c>
      <c r="B1480" s="234">
        <v>1.3</v>
      </c>
      <c r="C1480" s="234">
        <v>1.08</v>
      </c>
      <c r="D1480" s="234">
        <v>1.0900000000000001</v>
      </c>
      <c r="E1480" s="234">
        <v>1.1000000000000001</v>
      </c>
      <c r="F1480" s="234">
        <v>1.03</v>
      </c>
      <c r="G1480" s="234">
        <v>1.01</v>
      </c>
      <c r="H1480" s="234">
        <v>0.99</v>
      </c>
      <c r="I1480" s="234">
        <v>0.98</v>
      </c>
      <c r="J1480" s="234">
        <v>0.97</v>
      </c>
      <c r="K1480" s="234">
        <v>0.94</v>
      </c>
      <c r="L1480" s="1330">
        <v>0.79</v>
      </c>
      <c r="M1480" s="1330"/>
    </row>
    <row r="1481" spans="1:13" ht="14.4" hidden="1">
      <c r="A1481" s="235">
        <v>150</v>
      </c>
      <c r="B1481" s="235">
        <v>1.24</v>
      </c>
      <c r="C1481" s="235">
        <v>1.08</v>
      </c>
      <c r="D1481" s="235">
        <v>1.0900000000000001</v>
      </c>
      <c r="E1481" s="235">
        <v>1.1000000000000001</v>
      </c>
      <c r="F1481" s="235">
        <v>1.03</v>
      </c>
      <c r="G1481" s="235">
        <v>1.01</v>
      </c>
      <c r="H1481" s="235">
        <v>0.99</v>
      </c>
      <c r="I1481" s="235">
        <v>0.98</v>
      </c>
      <c r="J1481" s="235">
        <v>0.96</v>
      </c>
      <c r="K1481" s="235">
        <v>0.94</v>
      </c>
      <c r="L1481" s="1328">
        <v>0.66</v>
      </c>
      <c r="M1481" s="1328"/>
    </row>
    <row r="1482" spans="1:13" ht="14.4" hidden="1">
      <c r="A1482" s="235">
        <v>200</v>
      </c>
      <c r="B1482" s="235">
        <v>1.21</v>
      </c>
      <c r="C1482" s="235">
        <v>1.08</v>
      </c>
      <c r="D1482" s="235">
        <v>1.08</v>
      </c>
      <c r="E1482" s="235">
        <v>1.0900000000000001</v>
      </c>
      <c r="F1482" s="235">
        <v>1.03</v>
      </c>
      <c r="G1482" s="235">
        <v>1.01</v>
      </c>
      <c r="H1482" s="235">
        <v>0.99</v>
      </c>
      <c r="I1482" s="235">
        <v>0.98</v>
      </c>
      <c r="J1482" s="235">
        <v>0.96</v>
      </c>
      <c r="K1482" s="235">
        <v>0.94</v>
      </c>
      <c r="L1482" s="1328">
        <v>0.57999999999999996</v>
      </c>
      <c r="M1482" s="1328"/>
    </row>
    <row r="1483" spans="1:13" ht="14.4" hidden="1">
      <c r="A1483" s="235">
        <v>300</v>
      </c>
      <c r="B1483" s="235">
        <v>1.18</v>
      </c>
      <c r="C1483" s="235">
        <v>1.08</v>
      </c>
      <c r="D1483" s="235">
        <v>1.08</v>
      </c>
      <c r="E1483" s="235">
        <v>1.0900000000000001</v>
      </c>
      <c r="F1483" s="235">
        <v>1.03</v>
      </c>
      <c r="G1483" s="235">
        <v>1.01</v>
      </c>
      <c r="H1483" s="235">
        <v>0.99</v>
      </c>
      <c r="I1483" s="235">
        <v>0.98</v>
      </c>
      <c r="J1483" s="235">
        <v>0.96</v>
      </c>
      <c r="K1483" s="235">
        <v>0.94</v>
      </c>
      <c r="L1483" s="1328">
        <v>0.48</v>
      </c>
      <c r="M1483" s="1328"/>
    </row>
    <row r="1484" spans="1:13" ht="14.4" hidden="1">
      <c r="A1484" s="238">
        <v>500</v>
      </c>
      <c r="B1484" s="238">
        <v>1.1499999999999999</v>
      </c>
      <c r="C1484" s="238">
        <v>1.08</v>
      </c>
      <c r="D1484" s="238">
        <v>1.08</v>
      </c>
      <c r="E1484" s="238">
        <v>1.0900000000000001</v>
      </c>
      <c r="F1484" s="238">
        <v>1.03</v>
      </c>
      <c r="G1484" s="238">
        <v>1.01</v>
      </c>
      <c r="H1484" s="238">
        <v>0.98</v>
      </c>
      <c r="I1484" s="238">
        <v>0.98</v>
      </c>
      <c r="J1484" s="238">
        <v>0.96</v>
      </c>
      <c r="K1484" s="238">
        <v>0.94</v>
      </c>
      <c r="L1484" s="1329">
        <v>0.38</v>
      </c>
      <c r="M1484" s="1329"/>
    </row>
    <row r="1485" spans="1:13" hidden="1">
      <c r="E1485" s="213"/>
    </row>
    <row r="1486" spans="1:13" ht="15.6" hidden="1">
      <c r="A1486" s="179" t="s">
        <v>2164</v>
      </c>
      <c r="B1486" t="s">
        <v>2165</v>
      </c>
      <c r="C1486"/>
      <c r="D1486"/>
      <c r="E1486"/>
      <c r="F1486"/>
      <c r="G1486"/>
      <c r="H1486"/>
    </row>
    <row r="1487" spans="1:13" ht="14.4" hidden="1">
      <c r="A1487" s="1333" t="s">
        <v>2166</v>
      </c>
      <c r="B1487" s="1334"/>
      <c r="C1487" s="1325" t="s">
        <v>2167</v>
      </c>
      <c r="D1487" s="1326"/>
      <c r="E1487" s="1325" t="s">
        <v>1583</v>
      </c>
      <c r="F1487" s="1326"/>
      <c r="G1487" s="1325" t="s">
        <v>1490</v>
      </c>
      <c r="H1487" s="1326"/>
    </row>
    <row r="1488" spans="1:13" ht="15.6" hidden="1">
      <c r="A1488" s="1335"/>
      <c r="B1488" s="1336"/>
      <c r="C1488" s="1301"/>
      <c r="D1488" s="1302"/>
      <c r="E1488" s="1301" t="s">
        <v>2168</v>
      </c>
      <c r="F1488" s="1302"/>
      <c r="G1488" s="1301" t="s">
        <v>2169</v>
      </c>
      <c r="H1488" s="1302"/>
    </row>
    <row r="1489" spans="1:8" ht="16.8" hidden="1">
      <c r="A1489" s="1333" t="s">
        <v>2170</v>
      </c>
      <c r="B1489" s="1334"/>
      <c r="C1489" s="1325" t="s">
        <v>942</v>
      </c>
      <c r="D1489" s="1326"/>
      <c r="E1489" s="1325">
        <v>0.23</v>
      </c>
      <c r="F1489" s="1326"/>
      <c r="G1489" s="1325" t="s">
        <v>2171</v>
      </c>
      <c r="H1489" s="1326"/>
    </row>
    <row r="1490" spans="1:8" ht="16.8" hidden="1">
      <c r="A1490" s="1335"/>
      <c r="B1490" s="1336"/>
      <c r="C1490" s="1301" t="s">
        <v>2162</v>
      </c>
      <c r="D1490" s="1302"/>
      <c r="E1490" s="1301">
        <v>0.19</v>
      </c>
      <c r="F1490" s="1302"/>
      <c r="G1490" s="1301" t="s">
        <v>2171</v>
      </c>
      <c r="H1490" s="1302"/>
    </row>
    <row r="1491" spans="1:8" ht="16.8" hidden="1">
      <c r="A1491" s="1333" t="s">
        <v>2172</v>
      </c>
      <c r="B1491" s="1334"/>
      <c r="C1491" s="1325" t="s">
        <v>942</v>
      </c>
      <c r="D1491" s="1326"/>
      <c r="E1491" s="1325">
        <v>0.27</v>
      </c>
      <c r="F1491" s="1326"/>
      <c r="G1491" s="1325" t="s">
        <v>2173</v>
      </c>
      <c r="H1491" s="1326"/>
    </row>
    <row r="1492" spans="1:8" ht="16.8" hidden="1">
      <c r="A1492" s="1335"/>
      <c r="B1492" s="1336"/>
      <c r="C1492" s="1301" t="s">
        <v>2162</v>
      </c>
      <c r="D1492" s="1302"/>
      <c r="E1492" s="1301">
        <v>0.23</v>
      </c>
      <c r="F1492" s="1302"/>
      <c r="G1492" s="1301" t="s">
        <v>2173</v>
      </c>
      <c r="H1492" s="1302"/>
    </row>
    <row r="1493" spans="1:8" ht="14.4" hidden="1">
      <c r="A1493" s="1333" t="s">
        <v>2174</v>
      </c>
      <c r="B1493" s="1334"/>
      <c r="C1493" s="1325" t="s">
        <v>942</v>
      </c>
      <c r="D1493" s="1326"/>
      <c r="E1493" s="1325">
        <v>0.37</v>
      </c>
      <c r="F1493" s="1326"/>
      <c r="G1493" s="1325">
        <v>0</v>
      </c>
      <c r="H1493" s="1326"/>
    </row>
    <row r="1494" spans="1:8" ht="14.4" hidden="1">
      <c r="A1494" s="1335"/>
      <c r="B1494" s="1336"/>
      <c r="C1494" s="1301" t="s">
        <v>2162</v>
      </c>
      <c r="D1494" s="1302"/>
      <c r="E1494" s="1301">
        <v>0.3</v>
      </c>
      <c r="F1494" s="1302"/>
      <c r="G1494" s="1301">
        <v>0</v>
      </c>
      <c r="H1494" s="1302"/>
    </row>
    <row r="1495" spans="1:8" ht="14.4" hidden="1">
      <c r="A1495" s="1333" t="s">
        <v>2175</v>
      </c>
      <c r="B1495" s="1334"/>
      <c r="C1495" s="1325" t="s">
        <v>942</v>
      </c>
      <c r="D1495" s="1326"/>
      <c r="E1495" s="1325">
        <v>0.3</v>
      </c>
      <c r="F1495" s="1326"/>
      <c r="G1495" s="1325">
        <v>0</v>
      </c>
      <c r="H1495" s="1326"/>
    </row>
    <row r="1496" spans="1:8" ht="16.2" hidden="1">
      <c r="A1496" s="1335"/>
      <c r="B1496" s="1336"/>
      <c r="C1496" s="1301" t="s">
        <v>2162</v>
      </c>
      <c r="D1496" s="1302"/>
      <c r="E1496" s="1301">
        <v>0.24</v>
      </c>
      <c r="F1496" s="1302"/>
      <c r="G1496" s="1301" t="s">
        <v>2176</v>
      </c>
      <c r="H1496" s="1302"/>
    </row>
    <row r="1497" spans="1:8" ht="16.2" hidden="1">
      <c r="A1497" s="241" t="s">
        <v>2177</v>
      </c>
      <c r="B1497"/>
      <c r="C1497"/>
      <c r="D1497"/>
      <c r="E1497"/>
      <c r="F1497"/>
      <c r="G1497"/>
      <c r="H1497"/>
    </row>
    <row r="1498" spans="1:8" ht="14.4" hidden="1">
      <c r="A1498"/>
      <c r="B1498"/>
      <c r="C1498"/>
      <c r="D1498"/>
      <c r="E1498"/>
      <c r="F1498"/>
      <c r="G1498"/>
      <c r="H1498"/>
    </row>
    <row r="1499" spans="1:8" ht="14.4" hidden="1">
      <c r="A1499" s="179" t="s">
        <v>2178</v>
      </c>
      <c r="B1499" t="s">
        <v>2179</v>
      </c>
      <c r="C1499"/>
      <c r="D1499"/>
      <c r="E1499"/>
      <c r="F1499"/>
      <c r="G1499"/>
      <c r="H1499"/>
    </row>
    <row r="1500" spans="1:8" ht="14.4" hidden="1">
      <c r="A1500" s="1333" t="s">
        <v>2095</v>
      </c>
      <c r="B1500" s="1334"/>
      <c r="C1500" s="1325" t="s">
        <v>1583</v>
      </c>
      <c r="D1500" s="1326"/>
      <c r="E1500" s="1325" t="s">
        <v>1490</v>
      </c>
      <c r="F1500" s="1326"/>
      <c r="G1500"/>
      <c r="H1500"/>
    </row>
    <row r="1501" spans="1:8" ht="15.6" hidden="1">
      <c r="A1501" s="1335"/>
      <c r="B1501" s="1336"/>
      <c r="C1501" s="1301" t="s">
        <v>2168</v>
      </c>
      <c r="D1501" s="1302"/>
      <c r="E1501" s="1301" t="s">
        <v>2169</v>
      </c>
      <c r="F1501" s="1302"/>
      <c r="G1501"/>
      <c r="H1501"/>
    </row>
    <row r="1502" spans="1:8" ht="14.4" hidden="1">
      <c r="A1502" s="1333" t="s">
        <v>2180</v>
      </c>
      <c r="B1502" s="1334"/>
      <c r="C1502" s="1325">
        <v>1</v>
      </c>
      <c r="D1502" s="1326"/>
      <c r="E1502" s="1325">
        <v>0</v>
      </c>
      <c r="F1502" s="1326"/>
      <c r="G1502"/>
      <c r="H1502"/>
    </row>
    <row r="1503" spans="1:8" ht="14.4" hidden="1">
      <c r="A1503" s="1331" t="s">
        <v>2181</v>
      </c>
      <c r="B1503" s="1332"/>
      <c r="C1503" s="1304">
        <v>1</v>
      </c>
      <c r="D1503" s="1305"/>
      <c r="E1503" s="1304">
        <v>0</v>
      </c>
      <c r="F1503" s="1305"/>
      <c r="G1503"/>
      <c r="H1503"/>
    </row>
    <row r="1504" spans="1:8" ht="14.4" hidden="1">
      <c r="A1504"/>
      <c r="B1504"/>
      <c r="C1504"/>
      <c r="D1504"/>
      <c r="E1504"/>
      <c r="F1504"/>
      <c r="G1504"/>
      <c r="H1504"/>
    </row>
    <row r="1505" spans="1:8" ht="15.6" hidden="1">
      <c r="A1505" s="179" t="s">
        <v>2182</v>
      </c>
      <c r="B1505" t="s">
        <v>2183</v>
      </c>
      <c r="C1505"/>
      <c r="D1505"/>
      <c r="E1505"/>
      <c r="F1505"/>
      <c r="G1505"/>
      <c r="H1505"/>
    </row>
    <row r="1506" spans="1:8" ht="14.4" hidden="1">
      <c r="A1506" s="1333" t="s">
        <v>1517</v>
      </c>
      <c r="B1506" s="1334"/>
      <c r="C1506" s="1325" t="s">
        <v>2167</v>
      </c>
      <c r="D1506" s="1326"/>
      <c r="E1506" s="1325" t="s">
        <v>1583</v>
      </c>
      <c r="F1506" s="1326"/>
      <c r="G1506" s="1325" t="s">
        <v>1490</v>
      </c>
      <c r="H1506" s="1326"/>
    </row>
    <row r="1507" spans="1:8" ht="15.6" hidden="1">
      <c r="A1507" s="1335"/>
      <c r="B1507" s="1336"/>
      <c r="C1507" s="1301"/>
      <c r="D1507" s="1302"/>
      <c r="E1507" s="1301" t="s">
        <v>2168</v>
      </c>
      <c r="F1507" s="1302"/>
      <c r="G1507" s="1301" t="s">
        <v>2169</v>
      </c>
      <c r="H1507" s="1302"/>
    </row>
    <row r="1508" spans="1:8" ht="14.4" hidden="1">
      <c r="A1508" s="1331" t="s">
        <v>535</v>
      </c>
      <c r="B1508" s="1332"/>
      <c r="C1508" s="1304" t="s">
        <v>2161</v>
      </c>
      <c r="D1508" s="1305"/>
      <c r="E1508" s="1304">
        <v>1.01</v>
      </c>
      <c r="F1508" s="1305"/>
      <c r="G1508" s="1304">
        <v>0</v>
      </c>
      <c r="H1508" s="1305"/>
    </row>
    <row r="1509" spans="1:8" ht="14.4" hidden="1">
      <c r="A1509"/>
      <c r="B1509"/>
      <c r="C1509"/>
      <c r="D1509"/>
      <c r="E1509"/>
      <c r="F1509"/>
      <c r="G1509"/>
      <c r="H1509"/>
    </row>
    <row r="1510" spans="1:8" ht="16.2" hidden="1">
      <c r="A1510" s="179" t="s">
        <v>2184</v>
      </c>
      <c r="B1510" t="s">
        <v>2185</v>
      </c>
      <c r="C1510"/>
      <c r="D1510"/>
      <c r="E1510"/>
      <c r="F1510"/>
      <c r="G1510"/>
      <c r="H1510"/>
    </row>
    <row r="1511" spans="1:8" ht="15.6" hidden="1">
      <c r="A1511" s="234" t="s">
        <v>1496</v>
      </c>
      <c r="B1511" s="1304" t="s">
        <v>2186</v>
      </c>
      <c r="C1511" s="1306"/>
      <c r="D1511" s="1306"/>
      <c r="E1511" s="1306"/>
      <c r="F1511" s="1306"/>
      <c r="G1511" s="1305"/>
      <c r="H1511"/>
    </row>
    <row r="1512" spans="1:8" ht="14.4" hidden="1">
      <c r="A1512" s="235" t="s">
        <v>1498</v>
      </c>
      <c r="B1512" s="1304" t="s">
        <v>2187</v>
      </c>
      <c r="C1512" s="1306"/>
      <c r="D1512" s="1304" t="s">
        <v>2188</v>
      </c>
      <c r="E1512" s="1306"/>
      <c r="F1512" s="1306"/>
      <c r="G1512" s="1305"/>
      <c r="H1512"/>
    </row>
    <row r="1513" spans="1:8" ht="14.4" hidden="1">
      <c r="A1513" s="231"/>
      <c r="B1513" s="1325" t="s">
        <v>2189</v>
      </c>
      <c r="C1513" s="1326"/>
      <c r="D1513" s="1325" t="s">
        <v>2189</v>
      </c>
      <c r="E1513" s="1326"/>
      <c r="F1513" s="1325" t="s">
        <v>2190</v>
      </c>
      <c r="G1513" s="1326"/>
      <c r="H1513"/>
    </row>
    <row r="1514" spans="1:8" ht="14.4" hidden="1">
      <c r="A1514" s="232"/>
      <c r="B1514" s="1301" t="s">
        <v>2191</v>
      </c>
      <c r="C1514" s="1302"/>
      <c r="D1514" s="1301" t="s">
        <v>2191</v>
      </c>
      <c r="E1514" s="1302"/>
      <c r="F1514" s="1301" t="s">
        <v>2192</v>
      </c>
      <c r="G1514" s="1302"/>
      <c r="H1514"/>
    </row>
    <row r="1515" spans="1:8" ht="14.4" hidden="1">
      <c r="A1515" s="234">
        <v>100</v>
      </c>
      <c r="B1515" s="1330">
        <v>1.75</v>
      </c>
      <c r="C1515" s="1330"/>
      <c r="D1515" s="1330">
        <v>1.48</v>
      </c>
      <c r="E1515" s="1330"/>
      <c r="F1515" s="1330">
        <v>1.37</v>
      </c>
      <c r="G1515" s="1330"/>
      <c r="H1515"/>
    </row>
    <row r="1516" spans="1:8" ht="14.4" hidden="1">
      <c r="A1516" s="235">
        <v>150</v>
      </c>
      <c r="B1516" s="1328">
        <v>1.76</v>
      </c>
      <c r="C1516" s="1328"/>
      <c r="D1516" s="1328">
        <v>1.49</v>
      </c>
      <c r="E1516" s="1328"/>
      <c r="F1516" s="1328">
        <v>1.37</v>
      </c>
      <c r="G1516" s="1328"/>
      <c r="H1516"/>
    </row>
    <row r="1517" spans="1:8" ht="14.4" hidden="1">
      <c r="A1517" s="235">
        <v>200</v>
      </c>
      <c r="B1517" s="1328">
        <v>1.75</v>
      </c>
      <c r="C1517" s="1328"/>
      <c r="D1517" s="1328">
        <v>1.49</v>
      </c>
      <c r="E1517" s="1328"/>
      <c r="F1517" s="1328">
        <v>1.38</v>
      </c>
      <c r="G1517" s="1328"/>
      <c r="H1517"/>
    </row>
    <row r="1518" spans="1:8" ht="14.4" hidden="1">
      <c r="A1518" s="235">
        <v>300</v>
      </c>
      <c r="B1518" s="1328">
        <v>1.74</v>
      </c>
      <c r="C1518" s="1328"/>
      <c r="D1518" s="1328">
        <v>1.47</v>
      </c>
      <c r="E1518" s="1328"/>
      <c r="F1518" s="1328">
        <v>1.37</v>
      </c>
      <c r="G1518" s="1328"/>
      <c r="H1518"/>
    </row>
    <row r="1519" spans="1:8" ht="14.4" hidden="1">
      <c r="A1519" s="238">
        <v>500</v>
      </c>
      <c r="B1519" s="1329">
        <v>1.71</v>
      </c>
      <c r="C1519" s="1329"/>
      <c r="D1519" s="1329">
        <v>1.45</v>
      </c>
      <c r="E1519" s="1329"/>
      <c r="F1519" s="1329">
        <v>1.36</v>
      </c>
      <c r="G1519" s="1329"/>
      <c r="H1519"/>
    </row>
    <row r="1520" spans="1:8" ht="16.2" hidden="1">
      <c r="A1520" s="241" t="s">
        <v>2193</v>
      </c>
      <c r="B1520"/>
      <c r="C1520"/>
      <c r="D1520"/>
      <c r="E1520"/>
      <c r="F1520"/>
      <c r="G1520"/>
      <c r="H1520"/>
    </row>
    <row r="1521" spans="1:8" ht="14.4" hidden="1">
      <c r="A1521" t="s">
        <v>2194</v>
      </c>
      <c r="B1521"/>
      <c r="C1521"/>
      <c r="D1521"/>
      <c r="E1521"/>
      <c r="F1521"/>
      <c r="G1521"/>
      <c r="H1521"/>
    </row>
    <row r="1522" spans="1:8" ht="14.4" hidden="1">
      <c r="A1522" t="s">
        <v>2195</v>
      </c>
      <c r="B1522"/>
      <c r="C1522"/>
      <c r="D1522"/>
      <c r="E1522"/>
      <c r="F1522"/>
      <c r="G1522"/>
      <c r="H1522"/>
    </row>
    <row r="1523" spans="1:8" ht="14.4" hidden="1">
      <c r="A1523" t="s">
        <v>2196</v>
      </c>
      <c r="B1523"/>
      <c r="C1523"/>
      <c r="D1523"/>
      <c r="E1523"/>
      <c r="F1523"/>
      <c r="G1523"/>
      <c r="H1523"/>
    </row>
    <row r="1524" spans="1:8" ht="15.6" hidden="1">
      <c r="A1524" t="s">
        <v>2197</v>
      </c>
      <c r="B1524"/>
      <c r="C1524"/>
      <c r="D1524"/>
      <c r="E1524"/>
      <c r="F1524"/>
      <c r="G1524"/>
      <c r="H1524"/>
    </row>
    <row r="1525" spans="1:8" ht="14.4" hidden="1">
      <c r="A1525"/>
      <c r="B1525"/>
      <c r="C1525"/>
      <c r="D1525"/>
      <c r="E1525"/>
      <c r="F1525"/>
      <c r="G1525"/>
      <c r="H1525"/>
    </row>
    <row r="1526" spans="1:8" ht="16.2" hidden="1">
      <c r="A1526" s="179" t="s">
        <v>2198</v>
      </c>
      <c r="B1526" t="s">
        <v>2199</v>
      </c>
      <c r="C1526"/>
      <c r="D1526"/>
      <c r="E1526"/>
      <c r="F1526"/>
      <c r="G1526"/>
      <c r="H1526"/>
    </row>
    <row r="1527" spans="1:8" ht="15.6" hidden="1">
      <c r="A1527" s="234" t="s">
        <v>1496</v>
      </c>
      <c r="B1527" s="1304" t="s">
        <v>2200</v>
      </c>
      <c r="C1527" s="1306"/>
      <c r="D1527" s="1306"/>
      <c r="E1527" s="1306"/>
      <c r="F1527" s="1306"/>
      <c r="G1527" s="1305"/>
      <c r="H1527"/>
    </row>
    <row r="1528" spans="1:8" ht="14.4" hidden="1">
      <c r="A1528" s="235" t="s">
        <v>1498</v>
      </c>
      <c r="B1528" s="1325" t="s">
        <v>2187</v>
      </c>
      <c r="C1528" s="1327"/>
      <c r="D1528" s="1325" t="s">
        <v>2188</v>
      </c>
      <c r="E1528" s="1327"/>
      <c r="F1528" s="1327"/>
      <c r="G1528" s="1326"/>
      <c r="H1528"/>
    </row>
    <row r="1529" spans="1:8" ht="14.4" hidden="1">
      <c r="A1529" s="235"/>
      <c r="B1529" s="1301" t="s">
        <v>2201</v>
      </c>
      <c r="C1529" s="1302"/>
      <c r="D1529" s="1301" t="s">
        <v>2202</v>
      </c>
      <c r="E1529" s="1303"/>
      <c r="F1529" s="1303"/>
      <c r="G1529" s="1302"/>
      <c r="H1529"/>
    </row>
    <row r="1530" spans="1:8" ht="14.4" hidden="1">
      <c r="A1530" s="231"/>
      <c r="B1530" s="1325" t="s">
        <v>2189</v>
      </c>
      <c r="C1530" s="1326"/>
      <c r="D1530" s="1325" t="s">
        <v>2189</v>
      </c>
      <c r="E1530" s="1326"/>
      <c r="F1530" s="1325" t="s">
        <v>2190</v>
      </c>
      <c r="G1530" s="1326"/>
      <c r="H1530"/>
    </row>
    <row r="1531" spans="1:8" ht="14.4" hidden="1">
      <c r="A1531" s="232"/>
      <c r="B1531" s="1301" t="s">
        <v>2191</v>
      </c>
      <c r="C1531" s="1302"/>
      <c r="D1531" s="1301" t="s">
        <v>2191</v>
      </c>
      <c r="E1531" s="1302"/>
      <c r="F1531" s="1301" t="s">
        <v>2192</v>
      </c>
      <c r="G1531" s="1302"/>
      <c r="H1531"/>
    </row>
    <row r="1532" spans="1:8" ht="14.4" hidden="1">
      <c r="A1532" s="234">
        <v>100</v>
      </c>
      <c r="B1532" s="1330">
        <v>0.19</v>
      </c>
      <c r="C1532" s="1330"/>
      <c r="D1532" s="1325">
        <v>1.96</v>
      </c>
      <c r="E1532" s="1326"/>
      <c r="F1532" s="1330">
        <v>2.0499999999999998</v>
      </c>
      <c r="G1532" s="1330"/>
      <c r="H1532"/>
    </row>
    <row r="1533" spans="1:8" ht="14.4" hidden="1">
      <c r="A1533" s="235">
        <v>150</v>
      </c>
      <c r="B1533" s="1328">
        <v>0.13</v>
      </c>
      <c r="C1533" s="1328"/>
      <c r="D1533" s="1322">
        <v>1.84</v>
      </c>
      <c r="E1533" s="1323"/>
      <c r="F1533" s="1328">
        <v>1.92</v>
      </c>
      <c r="G1533" s="1328"/>
      <c r="H1533"/>
    </row>
    <row r="1534" spans="1:8" ht="14.4" hidden="1">
      <c r="A1534" s="235">
        <v>200</v>
      </c>
      <c r="B1534" s="1328">
        <v>0.1</v>
      </c>
      <c r="C1534" s="1328"/>
      <c r="D1534" s="1322">
        <v>1.78</v>
      </c>
      <c r="E1534" s="1323"/>
      <c r="F1534" s="1328">
        <v>1.86</v>
      </c>
      <c r="G1534" s="1328"/>
      <c r="H1534"/>
    </row>
    <row r="1535" spans="1:8" ht="14.4" hidden="1">
      <c r="A1535" s="235">
        <v>300</v>
      </c>
      <c r="B1535" s="1328">
        <v>7.0000000000000007E-2</v>
      </c>
      <c r="C1535" s="1328"/>
      <c r="D1535" s="1322">
        <v>1.71</v>
      </c>
      <c r="E1535" s="1323"/>
      <c r="F1535" s="1328">
        <v>1.79</v>
      </c>
      <c r="G1535" s="1328"/>
      <c r="H1535"/>
    </row>
    <row r="1536" spans="1:8" ht="14.4" hidden="1">
      <c r="A1536" s="238">
        <v>500</v>
      </c>
      <c r="B1536" s="1329">
        <v>0.04</v>
      </c>
      <c r="C1536" s="1329"/>
      <c r="D1536" s="1301">
        <v>1.65</v>
      </c>
      <c r="E1536" s="1302"/>
      <c r="F1536" s="1329">
        <v>1.73</v>
      </c>
      <c r="G1536" s="1329"/>
      <c r="H1536"/>
    </row>
    <row r="1537" spans="1:14" ht="16.2" hidden="1">
      <c r="A1537" s="241" t="s">
        <v>2193</v>
      </c>
      <c r="B1537"/>
      <c r="C1537"/>
      <c r="D1537"/>
      <c r="E1537"/>
      <c r="F1537"/>
      <c r="G1537"/>
      <c r="H1537"/>
    </row>
    <row r="1538" spans="1:14" ht="14.4" hidden="1">
      <c r="A1538" t="s">
        <v>2194</v>
      </c>
      <c r="B1538"/>
      <c r="C1538"/>
      <c r="D1538"/>
      <c r="E1538"/>
      <c r="F1538"/>
      <c r="G1538"/>
      <c r="H1538"/>
    </row>
    <row r="1539" spans="1:14" ht="14.4" hidden="1">
      <c r="A1539" t="s">
        <v>2195</v>
      </c>
      <c r="B1539"/>
      <c r="C1539"/>
      <c r="D1539"/>
      <c r="E1539"/>
      <c r="F1539"/>
      <c r="G1539"/>
      <c r="H1539"/>
    </row>
    <row r="1540" spans="1:14" ht="14.4" hidden="1">
      <c r="A1540" t="s">
        <v>2196</v>
      </c>
      <c r="B1540"/>
      <c r="C1540"/>
      <c r="D1540"/>
      <c r="E1540"/>
      <c r="F1540"/>
      <c r="G1540"/>
      <c r="H1540"/>
    </row>
    <row r="1541" spans="1:14" ht="15.6" hidden="1">
      <c r="A1541" t="s">
        <v>2197</v>
      </c>
      <c r="B1541"/>
      <c r="C1541"/>
      <c r="D1541"/>
      <c r="E1541"/>
      <c r="F1541"/>
      <c r="G1541"/>
      <c r="H1541"/>
    </row>
    <row r="1543" spans="1:14" ht="13.8">
      <c r="A1543" s="65" t="s">
        <v>1968</v>
      </c>
      <c r="B1543" s="66"/>
      <c r="C1543" s="66"/>
      <c r="D1543" s="66"/>
      <c r="E1543" s="66"/>
      <c r="F1543" s="66"/>
      <c r="G1543" s="165"/>
      <c r="H1543" s="66"/>
      <c r="I1543" s="66"/>
      <c r="J1543" s="1"/>
      <c r="K1543" s="122">
        <f>ROW(A1544)</f>
        <v>1544</v>
      </c>
      <c r="L1543" s="122">
        <f>ROW(A1567)</f>
        <v>1567</v>
      </c>
      <c r="M1543" s="122"/>
      <c r="N1543" s="122"/>
    </row>
    <row r="1544" spans="1:14" ht="14.4" hidden="1">
      <c r="A1544" s="179" t="s">
        <v>2203</v>
      </c>
      <c r="B1544" t="s">
        <v>2204</v>
      </c>
      <c r="C1544"/>
      <c r="D1544"/>
      <c r="E1544"/>
      <c r="F1544"/>
      <c r="G1544"/>
      <c r="H1544"/>
      <c r="I1544"/>
      <c r="J1544"/>
    </row>
    <row r="1545" spans="1:14" ht="16.2" hidden="1">
      <c r="A1545" s="242" t="s">
        <v>2205</v>
      </c>
      <c r="B1545" s="243"/>
      <c r="C1545" s="243"/>
      <c r="D1545" s="243"/>
      <c r="E1545" s="243"/>
      <c r="F1545" s="244"/>
      <c r="G1545" s="1304" t="s">
        <v>2206</v>
      </c>
      <c r="H1545" s="1306"/>
      <c r="I1545" s="1306"/>
      <c r="J1545" s="1305"/>
    </row>
    <row r="1546" spans="1:14" ht="12" hidden="1" customHeight="1">
      <c r="A1546" s="245"/>
      <c r="B1546"/>
      <c r="C1546"/>
      <c r="D1546"/>
      <c r="E1546"/>
      <c r="F1546" s="250"/>
      <c r="G1546" s="1325" t="s">
        <v>2207</v>
      </c>
      <c r="H1546" s="1326"/>
      <c r="I1546" s="1325" t="s">
        <v>2208</v>
      </c>
      <c r="J1546" s="1326"/>
    </row>
    <row r="1547" spans="1:14" ht="12" hidden="1" customHeight="1">
      <c r="A1547" s="236"/>
      <c r="B1547" s="248"/>
      <c r="C1547" s="248"/>
      <c r="D1547" s="248"/>
      <c r="E1547" s="248"/>
      <c r="F1547" s="251"/>
      <c r="G1547" s="1301" t="s">
        <v>946</v>
      </c>
      <c r="H1547" s="1302"/>
      <c r="I1547" s="1301" t="s">
        <v>1668</v>
      </c>
      <c r="J1547" s="1302"/>
    </row>
    <row r="1548" spans="1:14" ht="12" hidden="1" customHeight="1">
      <c r="A1548" s="242" t="s">
        <v>1909</v>
      </c>
      <c r="B1548" s="243"/>
      <c r="C1548" s="243"/>
      <c r="D1548" s="242" t="s">
        <v>1917</v>
      </c>
      <c r="E1548" s="243"/>
      <c r="F1548" s="244"/>
      <c r="G1548" s="1325">
        <v>1.1000000000000001</v>
      </c>
      <c r="H1548" s="1326"/>
      <c r="I1548" s="1327">
        <v>1.1000000000000001</v>
      </c>
      <c r="J1548" s="1326"/>
    </row>
    <row r="1549" spans="1:14" ht="12" hidden="1" customHeight="1">
      <c r="A1549" s="245"/>
      <c r="B1549"/>
      <c r="C1549"/>
      <c r="D1549" s="245" t="s">
        <v>1918</v>
      </c>
      <c r="E1549"/>
      <c r="F1549" s="250"/>
      <c r="G1549" s="1322">
        <v>1.1000000000000001</v>
      </c>
      <c r="H1549" s="1323"/>
      <c r="I1549" s="1324">
        <v>1.1000000000000001</v>
      </c>
      <c r="J1549" s="1323"/>
    </row>
    <row r="1550" spans="1:14" ht="12" hidden="1" customHeight="1">
      <c r="A1550" s="245"/>
      <c r="B1550"/>
      <c r="C1550"/>
      <c r="D1550" s="245" t="s">
        <v>1044</v>
      </c>
      <c r="E1550"/>
      <c r="F1550" s="250"/>
      <c r="G1550" s="1322">
        <v>1.1000000000000001</v>
      </c>
      <c r="H1550" s="1323"/>
      <c r="I1550" s="1324">
        <v>1.1000000000000001</v>
      </c>
      <c r="J1550" s="1323"/>
    </row>
    <row r="1551" spans="1:14" ht="12" hidden="1" customHeight="1">
      <c r="A1551" s="245"/>
      <c r="B1551"/>
      <c r="C1551"/>
      <c r="D1551" s="245" t="s">
        <v>1045</v>
      </c>
      <c r="E1551"/>
      <c r="F1551" s="250"/>
      <c r="G1551" s="1322">
        <v>1.1000000000000001</v>
      </c>
      <c r="H1551" s="1323"/>
      <c r="I1551" s="1324">
        <v>1.1000000000000001</v>
      </c>
      <c r="J1551" s="1323"/>
    </row>
    <row r="1552" spans="1:14" ht="12" hidden="1" customHeight="1">
      <c r="A1552" s="245"/>
      <c r="B1552"/>
      <c r="C1552"/>
      <c r="D1552" s="245" t="s">
        <v>1046</v>
      </c>
      <c r="E1552"/>
      <c r="F1552" s="250"/>
      <c r="G1552" s="1322">
        <v>1.2</v>
      </c>
      <c r="H1552" s="1323"/>
      <c r="I1552" s="1324">
        <v>1.2</v>
      </c>
      <c r="J1552" s="1323"/>
    </row>
    <row r="1553" spans="1:10" ht="12" hidden="1" customHeight="1">
      <c r="A1553" s="236"/>
      <c r="B1553" s="248"/>
      <c r="C1553" s="248"/>
      <c r="D1553" s="236" t="s">
        <v>1910</v>
      </c>
      <c r="E1553" s="248"/>
      <c r="F1553" s="251"/>
      <c r="G1553" s="1301">
        <v>1.2</v>
      </c>
      <c r="H1553" s="1302"/>
      <c r="I1553" s="1303">
        <v>0.2</v>
      </c>
      <c r="J1553" s="1302"/>
    </row>
    <row r="1554" spans="1:10" ht="12" hidden="1" customHeight="1">
      <c r="A1554" s="242" t="s">
        <v>2209</v>
      </c>
      <c r="B1554" s="243"/>
      <c r="C1554" s="243"/>
      <c r="D1554" s="242" t="s">
        <v>1921</v>
      </c>
      <c r="E1554" s="243"/>
      <c r="F1554" s="244"/>
      <c r="G1554" s="1325">
        <v>0.7</v>
      </c>
      <c r="H1554" s="1326"/>
      <c r="I1554" s="1327">
        <v>0.7</v>
      </c>
      <c r="J1554" s="1326"/>
    </row>
    <row r="1555" spans="1:10" ht="12" hidden="1" customHeight="1">
      <c r="A1555" s="236"/>
      <c r="B1555" s="248"/>
      <c r="C1555" s="248"/>
      <c r="D1555" s="236" t="s">
        <v>1923</v>
      </c>
      <c r="E1555" s="248"/>
      <c r="F1555" s="251"/>
      <c r="G1555" s="1301">
        <v>0.7</v>
      </c>
      <c r="H1555" s="1302"/>
      <c r="I1555" s="1303">
        <v>0</v>
      </c>
      <c r="J1555" s="1302"/>
    </row>
    <row r="1556" spans="1:10" ht="12" hidden="1" customHeight="1">
      <c r="A1556" s="242" t="s">
        <v>2210</v>
      </c>
      <c r="B1556" s="243"/>
      <c r="C1556" s="243"/>
      <c r="D1556" s="242" t="s">
        <v>1921</v>
      </c>
      <c r="E1556" s="243"/>
      <c r="F1556" s="244"/>
      <c r="G1556" s="1325">
        <v>1.3</v>
      </c>
      <c r="H1556" s="1326"/>
      <c r="I1556" s="1327">
        <v>1.3</v>
      </c>
      <c r="J1556" s="1326"/>
    </row>
    <row r="1557" spans="1:10" ht="12" hidden="1" customHeight="1">
      <c r="A1557" s="236"/>
      <c r="B1557" s="248"/>
      <c r="C1557" s="248"/>
      <c r="D1557" s="236" t="s">
        <v>1923</v>
      </c>
      <c r="E1557" s="248"/>
      <c r="F1557" s="251"/>
      <c r="G1557" s="1301">
        <v>1.3</v>
      </c>
      <c r="H1557" s="1302"/>
      <c r="I1557" s="1303">
        <v>0.1</v>
      </c>
      <c r="J1557" s="1302"/>
    </row>
    <row r="1558" spans="1:10" ht="12" hidden="1" customHeight="1">
      <c r="A1558" s="233" t="s">
        <v>1047</v>
      </c>
      <c r="B1558" s="253"/>
      <c r="C1558" s="253"/>
      <c r="D1558" s="233" t="s">
        <v>2211</v>
      </c>
      <c r="E1558" s="253"/>
      <c r="F1558" s="254"/>
      <c r="G1558" s="1304">
        <v>3</v>
      </c>
      <c r="H1558" s="1305"/>
      <c r="I1558" s="1306" t="s">
        <v>2212</v>
      </c>
      <c r="J1558" s="1305"/>
    </row>
    <row r="1559" spans="1:10" ht="12" hidden="1" customHeight="1">
      <c r="A1559" s="233" t="s">
        <v>1914</v>
      </c>
      <c r="B1559" s="253"/>
      <c r="C1559" s="253"/>
      <c r="D1559" s="233" t="s">
        <v>2213</v>
      </c>
      <c r="E1559" s="253"/>
      <c r="F1559" s="254"/>
      <c r="G1559" s="1304">
        <v>1</v>
      </c>
      <c r="H1559" s="1305"/>
      <c r="I1559" s="1306">
        <v>0</v>
      </c>
      <c r="J1559" s="1305"/>
    </row>
    <row r="1560" spans="1:10" ht="12" hidden="1" customHeight="1">
      <c r="A1560" s="241" t="s">
        <v>2214</v>
      </c>
      <c r="B1560"/>
      <c r="C1560"/>
      <c r="D1560"/>
      <c r="E1560"/>
      <c r="F1560"/>
      <c r="G1560"/>
      <c r="H1560"/>
      <c r="I1560"/>
      <c r="J1560"/>
    </row>
    <row r="1561" spans="1:10" ht="12" hidden="1" customHeight="1">
      <c r="A1561" s="241" t="s">
        <v>2215</v>
      </c>
      <c r="B1561"/>
      <c r="C1561"/>
      <c r="D1561"/>
      <c r="E1561"/>
      <c r="F1561"/>
      <c r="G1561"/>
      <c r="H1561"/>
      <c r="I1561"/>
      <c r="J1561"/>
    </row>
    <row r="1562" spans="1:10" ht="12" hidden="1" customHeight="1">
      <c r="A1562" s="825" t="s">
        <v>2673</v>
      </c>
      <c r="B1562"/>
      <c r="C1562"/>
      <c r="D1562"/>
      <c r="E1562"/>
      <c r="F1562"/>
      <c r="G1562"/>
      <c r="H1562"/>
      <c r="I1562"/>
      <c r="J1562"/>
    </row>
    <row r="1563" spans="1:10" ht="12" hidden="1" customHeight="1">
      <c r="A1563" s="826" t="s">
        <v>2676</v>
      </c>
      <c r="B1563"/>
      <c r="C1563"/>
      <c r="D1563"/>
      <c r="E1563"/>
      <c r="F1563"/>
      <c r="G1563"/>
      <c r="H1563"/>
      <c r="I1563"/>
      <c r="J1563"/>
    </row>
    <row r="1564" spans="1:10" ht="12" hidden="1" customHeight="1">
      <c r="A1564" s="826" t="s">
        <v>2677</v>
      </c>
      <c r="B1564"/>
      <c r="C1564"/>
      <c r="D1564"/>
      <c r="E1564"/>
      <c r="F1564"/>
      <c r="G1564"/>
      <c r="H1564"/>
      <c r="I1564"/>
      <c r="J1564"/>
    </row>
    <row r="1565" spans="1:10" ht="12" hidden="1" customHeight="1">
      <c r="A1565" s="825" t="s">
        <v>2675</v>
      </c>
      <c r="B1565"/>
      <c r="C1565"/>
      <c r="D1565"/>
      <c r="E1565"/>
      <c r="F1565"/>
      <c r="G1565"/>
      <c r="H1565"/>
      <c r="I1565"/>
      <c r="J1565"/>
    </row>
    <row r="1566" spans="1:10" ht="12" hidden="1" customHeight="1">
      <c r="A1566" s="827" t="s">
        <v>2678</v>
      </c>
      <c r="B1566"/>
      <c r="C1566"/>
      <c r="D1566"/>
      <c r="E1566"/>
      <c r="F1566"/>
      <c r="G1566"/>
      <c r="H1566"/>
      <c r="I1566"/>
      <c r="J1566"/>
    </row>
    <row r="1567" spans="1:10" ht="12" hidden="1" customHeight="1">
      <c r="A1567" s="826" t="s">
        <v>2679</v>
      </c>
      <c r="B1567"/>
      <c r="C1567"/>
      <c r="D1567"/>
      <c r="E1567"/>
      <c r="F1567"/>
      <c r="G1567"/>
      <c r="H1567"/>
      <c r="I1567"/>
      <c r="J1567"/>
    </row>
    <row r="1569" spans="1:14" ht="13.8">
      <c r="A1569" s="65" t="s">
        <v>1902</v>
      </c>
      <c r="B1569" s="66"/>
      <c r="C1569" s="66"/>
      <c r="D1569" s="66"/>
      <c r="E1569" s="66"/>
      <c r="F1569" s="66"/>
      <c r="G1569" s="165"/>
      <c r="H1569" s="66"/>
      <c r="I1569" s="66"/>
      <c r="J1569" s="1"/>
      <c r="K1569" s="122">
        <f>ROW(A1570)</f>
        <v>1570</v>
      </c>
      <c r="L1569" s="122">
        <f>ROW(A1600)</f>
        <v>1600</v>
      </c>
      <c r="M1569" s="122"/>
      <c r="N1569" s="122"/>
    </row>
    <row r="1570" spans="1:14" ht="13.8" hidden="1">
      <c r="A1570" s="181" t="s">
        <v>2284</v>
      </c>
      <c r="B1570" s="18"/>
      <c r="C1570" s="18"/>
      <c r="D1570" s="512" t="s">
        <v>2391</v>
      </c>
      <c r="E1570" s="18"/>
      <c r="F1570" s="18"/>
      <c r="G1570" s="134"/>
      <c r="H1570" s="18"/>
      <c r="I1570" s="18"/>
      <c r="J1570" s="1"/>
      <c r="K1570" s="122"/>
      <c r="L1570" s="122"/>
      <c r="M1570" s="122"/>
      <c r="N1570" s="122"/>
    </row>
    <row r="1571" spans="1:14" ht="15" hidden="1">
      <c r="A1571" s="261" t="s">
        <v>1903</v>
      </c>
      <c r="B1571" s="263"/>
      <c r="C1571" s="263"/>
      <c r="D1571" s="263"/>
      <c r="E1571" s="262"/>
      <c r="F1571" s="261" t="s">
        <v>1906</v>
      </c>
      <c r="G1571" s="263"/>
      <c r="H1571" s="262"/>
    </row>
    <row r="1572" spans="1:14" ht="12" hidden="1" customHeight="1">
      <c r="A1572" s="224"/>
      <c r="B1572" s="265"/>
      <c r="C1572" s="265"/>
      <c r="D1572" s="265"/>
      <c r="E1572" s="226"/>
      <c r="F1572" s="219" t="s">
        <v>1907</v>
      </c>
      <c r="G1572" s="400" t="s">
        <v>1908</v>
      </c>
      <c r="H1572" s="226"/>
    </row>
    <row r="1573" spans="1:14" ht="12" hidden="1" customHeight="1">
      <c r="A1573" s="261" t="s">
        <v>1919</v>
      </c>
      <c r="B1573" s="263"/>
      <c r="C1573" s="262"/>
      <c r="D1573" s="261" t="s">
        <v>1917</v>
      </c>
      <c r="E1573" s="262"/>
      <c r="F1573" s="828">
        <v>1.1000000000000001</v>
      </c>
      <c r="G1573" s="270">
        <v>1.1000000000000001</v>
      </c>
      <c r="H1573" s="262"/>
    </row>
    <row r="1574" spans="1:14" ht="12" hidden="1" customHeight="1">
      <c r="A1574" s="267"/>
      <c r="C1574" s="399"/>
      <c r="D1574" s="267" t="s">
        <v>1918</v>
      </c>
      <c r="E1574" s="399"/>
      <c r="F1574" s="829">
        <v>1.1000000000000001</v>
      </c>
      <c r="G1574" s="464">
        <v>1.1000000000000001</v>
      </c>
      <c r="H1574" s="399"/>
    </row>
    <row r="1575" spans="1:14" ht="12" hidden="1" customHeight="1">
      <c r="A1575" s="267"/>
      <c r="C1575" s="399"/>
      <c r="D1575" s="267" t="s">
        <v>1044</v>
      </c>
      <c r="E1575" s="399"/>
      <c r="F1575" s="829">
        <v>1.1000000000000001</v>
      </c>
      <c r="G1575" s="464">
        <v>1.1000000000000001</v>
      </c>
      <c r="H1575" s="399"/>
    </row>
    <row r="1576" spans="1:14" ht="12" hidden="1" customHeight="1">
      <c r="A1576" s="267"/>
      <c r="C1576" s="399"/>
      <c r="D1576" s="267" t="s">
        <v>1045</v>
      </c>
      <c r="E1576" s="399"/>
      <c r="F1576" s="829">
        <v>1.1000000000000001</v>
      </c>
      <c r="G1576" s="464">
        <v>1.1000000000000001</v>
      </c>
      <c r="H1576" s="399"/>
    </row>
    <row r="1577" spans="1:14" ht="12" hidden="1" customHeight="1">
      <c r="A1577" s="224"/>
      <c r="B1577" s="265"/>
      <c r="C1577" s="226"/>
      <c r="D1577" s="224" t="s">
        <v>1046</v>
      </c>
      <c r="E1577" s="226"/>
      <c r="F1577" s="830">
        <v>1.2</v>
      </c>
      <c r="G1577" s="465">
        <v>1.2</v>
      </c>
      <c r="H1577" s="226"/>
    </row>
    <row r="1578" spans="1:14" ht="12" hidden="1" customHeight="1">
      <c r="A1578" s="261" t="s">
        <v>1920</v>
      </c>
      <c r="B1578" s="263"/>
      <c r="C1578" s="262"/>
      <c r="D1578" s="261" t="s">
        <v>1043</v>
      </c>
      <c r="E1578" s="262"/>
      <c r="F1578" s="828">
        <v>1.5</v>
      </c>
      <c r="G1578" s="270">
        <v>0.5</v>
      </c>
      <c r="H1578" s="262"/>
    </row>
    <row r="1579" spans="1:14" ht="12" hidden="1" customHeight="1">
      <c r="A1579" s="267"/>
      <c r="C1579" s="399"/>
      <c r="D1579" s="267" t="s">
        <v>1041</v>
      </c>
      <c r="E1579" s="399"/>
      <c r="F1579" s="829">
        <v>1.5</v>
      </c>
      <c r="G1579" s="464">
        <v>0.5</v>
      </c>
      <c r="H1579" s="399"/>
    </row>
    <row r="1580" spans="1:14" ht="12" hidden="1" customHeight="1">
      <c r="A1580" s="224"/>
      <c r="B1580" s="265"/>
      <c r="C1580" s="226"/>
      <c r="D1580" s="224" t="s">
        <v>1910</v>
      </c>
      <c r="E1580" s="226"/>
      <c r="F1580" s="830">
        <v>1.2</v>
      </c>
      <c r="G1580" s="465">
        <v>0.2</v>
      </c>
      <c r="H1580" s="226"/>
    </row>
    <row r="1581" spans="1:14" ht="12" hidden="1" customHeight="1">
      <c r="A1581" s="261" t="s">
        <v>1922</v>
      </c>
      <c r="B1581" s="263"/>
      <c r="C1581" s="262"/>
      <c r="D1581" s="261" t="s">
        <v>1921</v>
      </c>
      <c r="E1581" s="262"/>
      <c r="F1581" s="828">
        <v>0.7</v>
      </c>
      <c r="G1581" s="270">
        <v>0.7</v>
      </c>
      <c r="H1581" s="262"/>
    </row>
    <row r="1582" spans="1:14" ht="12" hidden="1" customHeight="1">
      <c r="A1582" s="224"/>
      <c r="B1582" s="265"/>
      <c r="C1582" s="226"/>
      <c r="D1582" s="224" t="s">
        <v>1923</v>
      </c>
      <c r="E1582" s="226"/>
      <c r="F1582" s="830">
        <v>0.7</v>
      </c>
      <c r="G1582" s="465">
        <v>0</v>
      </c>
      <c r="H1582" s="226"/>
    </row>
    <row r="1583" spans="1:14" ht="12" hidden="1" customHeight="1">
      <c r="A1583" s="261" t="s">
        <v>1924</v>
      </c>
      <c r="B1583" s="263"/>
      <c r="C1583" s="262"/>
      <c r="D1583" s="261" t="s">
        <v>1921</v>
      </c>
      <c r="E1583" s="262"/>
      <c r="F1583" s="828">
        <v>1.3</v>
      </c>
      <c r="G1583" s="270">
        <v>1.3</v>
      </c>
      <c r="H1583" s="262"/>
    </row>
    <row r="1584" spans="1:14" ht="12" hidden="1" customHeight="1">
      <c r="A1584" s="224"/>
      <c r="B1584" s="265"/>
      <c r="C1584" s="226"/>
      <c r="D1584" s="224" t="s">
        <v>1923</v>
      </c>
      <c r="E1584" s="226"/>
      <c r="F1584" s="830">
        <v>1.3</v>
      </c>
      <c r="G1584" s="465">
        <v>0.1</v>
      </c>
      <c r="H1584" s="226"/>
      <c r="K1584" s="877"/>
    </row>
    <row r="1585" spans="1:11" ht="12" hidden="1" customHeight="1">
      <c r="A1585" s="261" t="s">
        <v>1047</v>
      </c>
      <c r="B1585" s="263"/>
      <c r="C1585" s="262"/>
      <c r="D1585" s="261" t="s">
        <v>1925</v>
      </c>
      <c r="E1585" s="262"/>
      <c r="F1585" s="828">
        <v>2.8</v>
      </c>
      <c r="G1585" s="270">
        <v>2.4</v>
      </c>
      <c r="H1585" s="262"/>
    </row>
    <row r="1586" spans="1:11" ht="12" hidden="1" customHeight="1">
      <c r="A1586" s="267"/>
      <c r="C1586" s="399"/>
      <c r="D1586" s="267" t="s">
        <v>1911</v>
      </c>
      <c r="E1586" s="461"/>
      <c r="F1586" s="829">
        <v>2.8</v>
      </c>
      <c r="G1586" s="464">
        <v>2.8</v>
      </c>
      <c r="H1586" s="399"/>
    </row>
    <row r="1587" spans="1:11" ht="12" hidden="1" customHeight="1">
      <c r="A1587" s="267"/>
      <c r="C1587" s="399"/>
      <c r="D1587" s="462" t="s">
        <v>1925</v>
      </c>
      <c r="E1587" s="463"/>
      <c r="F1587" s="831">
        <v>2.5</v>
      </c>
      <c r="G1587" s="466">
        <v>2</v>
      </c>
      <c r="H1587" s="469" t="s">
        <v>1937</v>
      </c>
      <c r="I1587" s="420"/>
      <c r="J1587" s="420"/>
      <c r="K1587" s="420"/>
    </row>
    <row r="1588" spans="1:11" ht="12" hidden="1" customHeight="1">
      <c r="A1588" s="224"/>
      <c r="B1588" s="265"/>
      <c r="C1588" s="226"/>
      <c r="D1588" s="459" t="s">
        <v>1911</v>
      </c>
      <c r="E1588" s="460"/>
      <c r="F1588" s="832">
        <v>2.5</v>
      </c>
      <c r="G1588" s="467">
        <v>2.5</v>
      </c>
      <c r="H1588" s="470" t="s">
        <v>1937</v>
      </c>
      <c r="I1588" s="420"/>
      <c r="J1588" s="420"/>
      <c r="K1588" s="420"/>
    </row>
    <row r="1589" spans="1:11" ht="12" hidden="1" customHeight="1">
      <c r="A1589" s="261" t="s">
        <v>1939</v>
      </c>
      <c r="B1589" s="263"/>
      <c r="C1589" s="262"/>
      <c r="D1589" s="261" t="s">
        <v>1912</v>
      </c>
      <c r="E1589" s="458"/>
      <c r="F1589" s="828">
        <v>1</v>
      </c>
      <c r="G1589" s="464">
        <v>0</v>
      </c>
      <c r="H1589" s="399"/>
    </row>
    <row r="1590" spans="1:11" ht="12" hidden="1" customHeight="1">
      <c r="A1590" s="267"/>
      <c r="C1590" s="399"/>
      <c r="D1590" s="267" t="s">
        <v>1926</v>
      </c>
      <c r="E1590" s="399"/>
      <c r="F1590" s="829">
        <v>1</v>
      </c>
      <c r="G1590" s="464">
        <v>0</v>
      </c>
      <c r="H1590" s="399"/>
    </row>
    <row r="1591" spans="1:11" ht="12" hidden="1" customHeight="1">
      <c r="A1591" s="267"/>
      <c r="C1591" s="399"/>
      <c r="D1591" s="267" t="s">
        <v>1913</v>
      </c>
      <c r="E1591" s="399"/>
      <c r="F1591" s="829">
        <v>1</v>
      </c>
      <c r="G1591" s="464">
        <v>0</v>
      </c>
      <c r="H1591" s="399"/>
    </row>
    <row r="1592" spans="1:11" ht="12" hidden="1" customHeight="1">
      <c r="A1592" s="267"/>
      <c r="C1592" s="399"/>
      <c r="D1592" s="267" t="s">
        <v>1915</v>
      </c>
      <c r="E1592" s="399"/>
      <c r="F1592" s="829">
        <v>1</v>
      </c>
      <c r="G1592" s="464">
        <v>0</v>
      </c>
      <c r="H1592" s="399"/>
    </row>
    <row r="1593" spans="1:11" ht="12" hidden="1" customHeight="1">
      <c r="A1593" s="224"/>
      <c r="B1593" s="265"/>
      <c r="C1593" s="226"/>
      <c r="D1593" s="459" t="s">
        <v>1938</v>
      </c>
      <c r="E1593" s="460"/>
      <c r="F1593" s="832">
        <v>1</v>
      </c>
      <c r="G1593" s="467">
        <v>0</v>
      </c>
      <c r="H1593" s="470" t="s">
        <v>1937</v>
      </c>
      <c r="I1593" s="420"/>
      <c r="J1593" s="420"/>
      <c r="K1593" s="420"/>
    </row>
    <row r="1594" spans="1:11" ht="12" hidden="1" customHeight="1">
      <c r="A1594" s="454" t="s">
        <v>1927</v>
      </c>
      <c r="B1594" s="455"/>
      <c r="C1594" s="456"/>
      <c r="D1594" s="454" t="s">
        <v>1928</v>
      </c>
      <c r="E1594" s="457"/>
      <c r="F1594" s="764">
        <v>1</v>
      </c>
      <c r="G1594" s="468">
        <v>0</v>
      </c>
      <c r="H1594" s="456"/>
    </row>
    <row r="1595" spans="1:11" ht="12" hidden="1" customHeight="1">
      <c r="E1595" s="213"/>
    </row>
    <row r="1596" spans="1:11" ht="12" hidden="1" customHeight="1">
      <c r="A1596" s="213" t="s">
        <v>1904</v>
      </c>
      <c r="E1596" s="213"/>
    </row>
    <row r="1597" spans="1:11" ht="12" hidden="1" customHeight="1">
      <c r="A1597" s="213" t="s">
        <v>1905</v>
      </c>
      <c r="E1597" s="213"/>
    </row>
    <row r="1598" spans="1:11" ht="12" hidden="1" customHeight="1">
      <c r="A1598" s="1308" t="s">
        <v>1956</v>
      </c>
      <c r="B1598" s="1308"/>
      <c r="C1598" s="1308"/>
      <c r="D1598" s="1308"/>
      <c r="E1598" s="1308"/>
      <c r="F1598" s="1308"/>
      <c r="G1598" s="1308"/>
      <c r="H1598" s="420" t="s">
        <v>1937</v>
      </c>
      <c r="I1598" s="420"/>
      <c r="J1598" s="420"/>
      <c r="K1598" s="420"/>
    </row>
    <row r="1599" spans="1:11" ht="12" hidden="1" customHeight="1">
      <c r="A1599" s="1308"/>
      <c r="B1599" s="1308"/>
      <c r="C1599" s="1308"/>
      <c r="D1599" s="1308"/>
      <c r="E1599" s="1308"/>
      <c r="F1599" s="1308"/>
      <c r="G1599" s="1308"/>
      <c r="H1599" s="420"/>
      <c r="I1599" s="420"/>
      <c r="J1599" s="420"/>
      <c r="K1599" s="420"/>
    </row>
    <row r="1600" spans="1:11" ht="12" hidden="1" customHeight="1">
      <c r="A1600" s="1308"/>
      <c r="B1600" s="1308"/>
      <c r="C1600" s="1308"/>
      <c r="D1600" s="1308"/>
      <c r="E1600" s="1308"/>
      <c r="F1600" s="1308"/>
      <c r="G1600" s="1308"/>
      <c r="H1600" s="420"/>
      <c r="I1600" s="420"/>
      <c r="J1600" s="420"/>
      <c r="K1600" s="420"/>
    </row>
    <row r="1602" spans="1:14" ht="13.8">
      <c r="A1602" s="65" t="s">
        <v>1929</v>
      </c>
      <c r="B1602" s="66"/>
      <c r="C1602" s="66"/>
      <c r="D1602" s="66"/>
      <c r="E1602" s="66"/>
      <c r="F1602" s="66"/>
      <c r="G1602" s="165"/>
      <c r="H1602" s="66"/>
      <c r="I1602" s="66"/>
      <c r="J1602" s="1"/>
      <c r="K1602" s="122">
        <f>ROW(A1603)</f>
        <v>1603</v>
      </c>
      <c r="L1602" s="122">
        <f>ROW(A1616)</f>
        <v>1616</v>
      </c>
      <c r="M1602" s="122"/>
      <c r="N1602" s="122"/>
    </row>
    <row r="1603" spans="1:14" ht="13.2" hidden="1">
      <c r="A1603" s="181" t="s">
        <v>2285</v>
      </c>
      <c r="B1603" s="18"/>
      <c r="C1603" s="18"/>
      <c r="D1603" s="18"/>
      <c r="E1603" s="18"/>
      <c r="F1603" s="18"/>
      <c r="G1603" s="134"/>
      <c r="H1603" s="18"/>
      <c r="I1603" s="18"/>
      <c r="J1603" s="1"/>
      <c r="K1603" s="122"/>
      <c r="L1603" s="122"/>
      <c r="M1603" s="122"/>
      <c r="N1603" s="122"/>
    </row>
    <row r="1604" spans="1:14" ht="15" hidden="1">
      <c r="A1604" s="261" t="s">
        <v>1052</v>
      </c>
      <c r="B1604" s="263"/>
      <c r="C1604" s="263"/>
      <c r="D1604" s="263"/>
      <c r="E1604" s="262"/>
      <c r="F1604" s="261" t="s">
        <v>1931</v>
      </c>
      <c r="G1604" s="263"/>
      <c r="H1604" s="262"/>
    </row>
    <row r="1605" spans="1:14" hidden="1">
      <c r="A1605" s="267"/>
      <c r="E1605" s="399"/>
      <c r="F1605" s="267" t="s">
        <v>1930</v>
      </c>
      <c r="H1605" s="399"/>
    </row>
    <row r="1606" spans="1:14" ht="12" hidden="1" customHeight="1">
      <c r="A1606" s="224"/>
      <c r="B1606" s="265"/>
      <c r="C1606" s="265"/>
      <c r="D1606" s="265"/>
      <c r="E1606" s="226"/>
      <c r="F1606" s="224" t="s">
        <v>1932</v>
      </c>
      <c r="G1606" s="265"/>
      <c r="H1606" s="226"/>
    </row>
    <row r="1607" spans="1:14" ht="12" hidden="1" customHeight="1">
      <c r="A1607" s="261" t="s">
        <v>1909</v>
      </c>
      <c r="B1607" s="262"/>
      <c r="C1607" s="261" t="s">
        <v>1934</v>
      </c>
      <c r="D1607" s="263"/>
      <c r="E1607" s="262"/>
      <c r="F1607" s="261">
        <v>1.06</v>
      </c>
      <c r="G1607" s="263"/>
      <c r="H1607" s="262"/>
    </row>
    <row r="1608" spans="1:14" ht="12" hidden="1" customHeight="1">
      <c r="A1608" s="267"/>
      <c r="B1608" s="399"/>
      <c r="C1608" s="267" t="s">
        <v>1935</v>
      </c>
      <c r="E1608" s="399"/>
      <c r="F1608" s="267">
        <v>1.1100000000000001</v>
      </c>
      <c r="H1608" s="399"/>
    </row>
    <row r="1609" spans="1:14" ht="12" hidden="1" customHeight="1">
      <c r="A1609" s="267"/>
      <c r="B1609" s="399"/>
      <c r="C1609" s="267" t="s">
        <v>1044</v>
      </c>
      <c r="E1609" s="399"/>
      <c r="F1609" s="267">
        <v>1.0900000000000001</v>
      </c>
      <c r="H1609" s="399"/>
    </row>
    <row r="1610" spans="1:14" ht="12" hidden="1" customHeight="1">
      <c r="A1610" s="267"/>
      <c r="B1610" s="399"/>
      <c r="C1610" s="267" t="s">
        <v>1045</v>
      </c>
      <c r="E1610" s="399"/>
      <c r="F1610" s="267">
        <v>1.04</v>
      </c>
      <c r="H1610" s="399"/>
    </row>
    <row r="1611" spans="1:14" ht="12" hidden="1" customHeight="1">
      <c r="A1611" s="267"/>
      <c r="B1611" s="399"/>
      <c r="C1611" s="267" t="s">
        <v>1046</v>
      </c>
      <c r="E1611" s="399"/>
      <c r="F1611" s="267">
        <v>1.07</v>
      </c>
      <c r="H1611" s="399"/>
    </row>
    <row r="1612" spans="1:14" ht="12" hidden="1" customHeight="1">
      <c r="A1612" s="224"/>
      <c r="B1612" s="226"/>
      <c r="C1612" s="224" t="s">
        <v>1910</v>
      </c>
      <c r="D1612" s="265"/>
      <c r="E1612" s="226"/>
      <c r="F1612" s="224">
        <v>1.08</v>
      </c>
      <c r="G1612" s="265"/>
      <c r="H1612" s="226"/>
    </row>
    <row r="1613" spans="1:14" ht="12" hidden="1" customHeight="1">
      <c r="A1613" s="261" t="s">
        <v>1936</v>
      </c>
      <c r="B1613" s="262"/>
      <c r="C1613" s="261" t="s">
        <v>1047</v>
      </c>
      <c r="D1613" s="263"/>
      <c r="E1613" s="262"/>
      <c r="F1613" s="267">
        <v>1</v>
      </c>
      <c r="H1613" s="399"/>
    </row>
    <row r="1614" spans="1:14" ht="12" hidden="1" customHeight="1">
      <c r="A1614" s="267"/>
      <c r="B1614" s="399"/>
      <c r="C1614" s="267" t="s">
        <v>1933</v>
      </c>
      <c r="E1614" s="399"/>
      <c r="F1614" s="267">
        <v>1</v>
      </c>
      <c r="H1614" s="399"/>
    </row>
    <row r="1615" spans="1:14" ht="12" hidden="1" customHeight="1">
      <c r="A1615" s="267"/>
      <c r="B1615" s="399"/>
      <c r="C1615" s="267" t="s">
        <v>1914</v>
      </c>
      <c r="E1615" s="399"/>
      <c r="F1615" s="267">
        <v>1</v>
      </c>
      <c r="H1615" s="399"/>
    </row>
    <row r="1616" spans="1:14" ht="12" hidden="1" customHeight="1">
      <c r="A1616" s="224"/>
      <c r="B1616" s="226"/>
      <c r="C1616" s="224" t="s">
        <v>1916</v>
      </c>
      <c r="D1616" s="265"/>
      <c r="E1616" s="226"/>
      <c r="F1616" s="224">
        <v>1</v>
      </c>
      <c r="G1616" s="265"/>
      <c r="H1616" s="226"/>
    </row>
    <row r="1617" spans="1:23" ht="12" customHeight="1">
      <c r="E1617" s="213"/>
    </row>
    <row r="1618" spans="1:23" ht="13.8">
      <c r="A1618" s="65" t="s">
        <v>3352</v>
      </c>
      <c r="B1618" s="66"/>
      <c r="C1618" s="66"/>
      <c r="D1618" s="66"/>
      <c r="E1618" s="66"/>
      <c r="F1618" s="66"/>
      <c r="G1618" s="165"/>
      <c r="H1618" s="66"/>
      <c r="I1618" s="66"/>
      <c r="J1618" s="1"/>
      <c r="K1618" s="122">
        <f>ROW(A1619)</f>
        <v>1619</v>
      </c>
      <c r="L1618" s="122">
        <f>ROW(A2233)</f>
        <v>2233</v>
      </c>
      <c r="M1618" s="122"/>
      <c r="N1618" s="122"/>
    </row>
    <row r="1619" spans="1:23" ht="13.2" hidden="1">
      <c r="A1619" s="181"/>
      <c r="B1619" s="18"/>
      <c r="C1619" s="18"/>
      <c r="D1619" s="512"/>
      <c r="E1619" s="18"/>
      <c r="F1619" s="18"/>
      <c r="G1619" s="134"/>
      <c r="H1619" s="18"/>
      <c r="I1619" s="18"/>
      <c r="J1619" s="1"/>
      <c r="K1619" s="122"/>
      <c r="L1619" s="122"/>
      <c r="M1619" s="122"/>
      <c r="N1619" s="122"/>
    </row>
    <row r="1620" spans="1:23" ht="13.2" hidden="1">
      <c r="A1620" s="1129" t="s">
        <v>3353</v>
      </c>
      <c r="B1620" s="1130"/>
      <c r="C1620" s="1130"/>
      <c r="D1620" s="1130"/>
      <c r="E1620" s="1130"/>
      <c r="F1620" s="1130"/>
      <c r="G1620" s="1130"/>
      <c r="H1620" s="1130"/>
      <c r="I1620" s="1130"/>
      <c r="J1620" s="1130"/>
      <c r="K1620" s="1130"/>
      <c r="L1620" s="1130"/>
      <c r="M1620" s="1130"/>
      <c r="N1620" s="1130"/>
    </row>
    <row r="1621" spans="1:23" ht="13.2" hidden="1">
      <c r="A1621" s="1130"/>
      <c r="B1621" s="1130"/>
      <c r="C1621" s="1130"/>
      <c r="D1621" s="1130"/>
      <c r="E1621" s="1130"/>
      <c r="F1621" s="1130"/>
      <c r="G1621" s="1130"/>
      <c r="H1621" s="1130"/>
      <c r="I1621" s="1130"/>
      <c r="J1621" s="1130"/>
      <c r="K1621" s="1130"/>
      <c r="L1621" s="1130"/>
      <c r="M1621" s="1130"/>
      <c r="N1621" s="1130"/>
    </row>
    <row r="1622" spans="1:23" ht="66" hidden="1">
      <c r="A1622" s="1314" t="s">
        <v>3354</v>
      </c>
      <c r="B1622" s="1315"/>
      <c r="C1622" s="1316" t="s">
        <v>3355</v>
      </c>
      <c r="D1622" s="1317"/>
      <c r="E1622" s="1317"/>
      <c r="F1622" s="1317"/>
      <c r="G1622" s="1317"/>
      <c r="H1622" s="1317"/>
      <c r="I1622" s="1317"/>
      <c r="J1622" s="1317"/>
      <c r="K1622" s="1317"/>
      <c r="L1622" s="1317"/>
      <c r="M1622" s="1317"/>
      <c r="N1622" s="1318"/>
      <c r="O1622" s="1131" t="s">
        <v>3356</v>
      </c>
      <c r="Q1622" s="1156">
        <v>2</v>
      </c>
    </row>
    <row r="1623" spans="1:23" ht="13.2" hidden="1">
      <c r="A1623" s="1132" t="s">
        <v>77</v>
      </c>
      <c r="B1623" s="1133" t="s">
        <v>1795</v>
      </c>
      <c r="C1623" s="1134" t="s">
        <v>116</v>
      </c>
      <c r="D1623" s="1135" t="s">
        <v>117</v>
      </c>
      <c r="E1623" s="1135" t="s">
        <v>118</v>
      </c>
      <c r="F1623" s="1135" t="s">
        <v>119</v>
      </c>
      <c r="G1623" s="1135" t="s">
        <v>120</v>
      </c>
      <c r="H1623" s="1135" t="s">
        <v>121</v>
      </c>
      <c r="I1623" s="1135" t="s">
        <v>122</v>
      </c>
      <c r="J1623" s="1135" t="s">
        <v>123</v>
      </c>
      <c r="K1623" s="1135" t="s">
        <v>124</v>
      </c>
      <c r="L1623" s="1135" t="s">
        <v>125</v>
      </c>
      <c r="M1623" s="1135" t="s">
        <v>126</v>
      </c>
      <c r="N1623" s="1136" t="s">
        <v>127</v>
      </c>
      <c r="O1623" s="1137" t="s">
        <v>3357</v>
      </c>
    </row>
    <row r="1624" spans="1:23" ht="13.2" hidden="1">
      <c r="A1624" s="1138" t="s">
        <v>3358</v>
      </c>
      <c r="B1624" s="1137" t="s">
        <v>14</v>
      </c>
      <c r="C1624" s="1134">
        <v>19</v>
      </c>
      <c r="D1624" s="1135">
        <v>48</v>
      </c>
      <c r="E1624" s="1135">
        <v>83</v>
      </c>
      <c r="F1624" s="1135">
        <v>173</v>
      </c>
      <c r="G1624" s="1135">
        <v>187</v>
      </c>
      <c r="H1624" s="1135">
        <v>196</v>
      </c>
      <c r="I1624" s="1135">
        <v>203</v>
      </c>
      <c r="J1624" s="1135">
        <v>176</v>
      </c>
      <c r="K1624" s="1135">
        <v>115</v>
      </c>
      <c r="L1624" s="1135">
        <v>71</v>
      </c>
      <c r="M1624" s="1135">
        <v>31</v>
      </c>
      <c r="N1624" s="1136">
        <v>16</v>
      </c>
      <c r="O1624" s="1139">
        <v>964</v>
      </c>
      <c r="Q1624" s="1157" t="s">
        <v>3393</v>
      </c>
      <c r="R1624" s="1165" t="s">
        <v>3394</v>
      </c>
    </row>
    <row r="1625" spans="1:23" ht="13.2" hidden="1">
      <c r="A1625" s="1319" t="s">
        <v>11</v>
      </c>
      <c r="B1625" s="1140" t="s">
        <v>15</v>
      </c>
      <c r="C1625" s="1141">
        <v>27</v>
      </c>
      <c r="D1625" s="1142">
        <v>62</v>
      </c>
      <c r="E1625" s="1142">
        <v>97</v>
      </c>
      <c r="F1625" s="1142">
        <v>197</v>
      </c>
      <c r="G1625" s="1142">
        <v>191</v>
      </c>
      <c r="H1625" s="1142">
        <v>194</v>
      </c>
      <c r="I1625" s="1142">
        <v>204</v>
      </c>
      <c r="J1625" s="1142">
        <v>189</v>
      </c>
      <c r="K1625" s="1142">
        <v>128</v>
      </c>
      <c r="L1625" s="1142">
        <v>91</v>
      </c>
      <c r="M1625" s="1142">
        <v>43</v>
      </c>
      <c r="N1625" s="1143">
        <v>25</v>
      </c>
      <c r="O1625" s="1144">
        <v>1059</v>
      </c>
      <c r="Q1625" s="1158"/>
      <c r="R1625" s="1158"/>
      <c r="S1625" s="1159" t="s">
        <v>3395</v>
      </c>
    </row>
    <row r="1626" spans="1:23" ht="13.2" hidden="1">
      <c r="A1626" s="1320"/>
      <c r="B1626" s="1140" t="s">
        <v>16</v>
      </c>
      <c r="C1626" s="1141">
        <v>29</v>
      </c>
      <c r="D1626" s="1142">
        <v>65</v>
      </c>
      <c r="E1626" s="1142">
        <v>98</v>
      </c>
      <c r="F1626" s="1142">
        <v>196</v>
      </c>
      <c r="G1626" s="1142">
        <v>180</v>
      </c>
      <c r="H1626" s="1142">
        <v>181</v>
      </c>
      <c r="I1626" s="1142">
        <v>191</v>
      </c>
      <c r="J1626" s="1142">
        <v>183</v>
      </c>
      <c r="K1626" s="1142">
        <v>127</v>
      </c>
      <c r="L1626" s="1142">
        <v>95</v>
      </c>
      <c r="M1626" s="1142">
        <v>47</v>
      </c>
      <c r="N1626" s="1143">
        <v>27</v>
      </c>
      <c r="O1626" s="1144">
        <v>1038</v>
      </c>
      <c r="Q1626" s="1160">
        <v>1</v>
      </c>
      <c r="R1626" s="1161" t="s">
        <v>3396</v>
      </c>
      <c r="S1626" s="1162" t="str">
        <f>Q1626&amp; " - "&amp;R1626</f>
        <v>1 - Bremerhaven</v>
      </c>
      <c r="W1626" s="1166" t="s">
        <v>3358</v>
      </c>
    </row>
    <row r="1627" spans="1:23" ht="13.2" hidden="1">
      <c r="A1627" s="1320"/>
      <c r="B1627" s="1140" t="s">
        <v>17</v>
      </c>
      <c r="C1627" s="1141">
        <v>31</v>
      </c>
      <c r="D1627" s="1142">
        <v>65</v>
      </c>
      <c r="E1627" s="1142">
        <v>94</v>
      </c>
      <c r="F1627" s="1142">
        <v>185</v>
      </c>
      <c r="G1627" s="1142">
        <v>163</v>
      </c>
      <c r="H1627" s="1142">
        <v>161</v>
      </c>
      <c r="I1627" s="1142">
        <v>172</v>
      </c>
      <c r="J1627" s="1142">
        <v>169</v>
      </c>
      <c r="K1627" s="1142">
        <v>120</v>
      </c>
      <c r="L1627" s="1142">
        <v>95</v>
      </c>
      <c r="M1627" s="1142">
        <v>48</v>
      </c>
      <c r="N1627" s="1143">
        <v>29</v>
      </c>
      <c r="O1627" s="1144">
        <v>974</v>
      </c>
      <c r="Q1627" s="1160">
        <v>2</v>
      </c>
      <c r="R1627" s="1161" t="s">
        <v>3397</v>
      </c>
      <c r="S1627" s="1162" t="str">
        <f t="shared" ref="S1627:S1640" si="279">Q1627&amp; " - "&amp;R1627</f>
        <v>2 - Rostock</v>
      </c>
      <c r="W1627" s="1166" t="s">
        <v>11</v>
      </c>
    </row>
    <row r="1628" spans="1:23" ht="13.2" hidden="1">
      <c r="A1628" s="1321"/>
      <c r="B1628" s="1137" t="s">
        <v>18</v>
      </c>
      <c r="C1628" s="1134">
        <v>28</v>
      </c>
      <c r="D1628" s="1135">
        <v>57</v>
      </c>
      <c r="E1628" s="1135">
        <v>76</v>
      </c>
      <c r="F1628" s="1135">
        <v>140</v>
      </c>
      <c r="G1628" s="1135">
        <v>114</v>
      </c>
      <c r="H1628" s="1135">
        <v>110</v>
      </c>
      <c r="I1628" s="1135">
        <v>118</v>
      </c>
      <c r="J1628" s="1135">
        <v>123</v>
      </c>
      <c r="K1628" s="1135">
        <v>94</v>
      </c>
      <c r="L1628" s="1135">
        <v>81</v>
      </c>
      <c r="M1628" s="1135">
        <v>44</v>
      </c>
      <c r="N1628" s="1136">
        <v>27</v>
      </c>
      <c r="O1628" s="1145">
        <v>741</v>
      </c>
      <c r="Q1628" s="1160">
        <v>3</v>
      </c>
      <c r="R1628" s="1161" t="s">
        <v>994</v>
      </c>
      <c r="S1628" s="1162" t="str">
        <f t="shared" si="279"/>
        <v>3 - Hamburg</v>
      </c>
      <c r="W1628" s="1166" t="s">
        <v>3359</v>
      </c>
    </row>
    <row r="1629" spans="1:23" ht="13.2" hidden="1">
      <c r="A1629" s="1319" t="s">
        <v>3359</v>
      </c>
      <c r="B1629" s="1140" t="s">
        <v>15</v>
      </c>
      <c r="C1629" s="1141">
        <v>26</v>
      </c>
      <c r="D1629" s="1142">
        <v>59</v>
      </c>
      <c r="E1629" s="1142">
        <v>96</v>
      </c>
      <c r="F1629" s="1142">
        <v>194</v>
      </c>
      <c r="G1629" s="1142">
        <v>192</v>
      </c>
      <c r="H1629" s="1142">
        <v>192</v>
      </c>
      <c r="I1629" s="1142">
        <v>207</v>
      </c>
      <c r="J1629" s="1142">
        <v>189</v>
      </c>
      <c r="K1629" s="1142">
        <v>128</v>
      </c>
      <c r="L1629" s="1142">
        <v>87</v>
      </c>
      <c r="M1629" s="1142">
        <v>40</v>
      </c>
      <c r="N1629" s="1143">
        <v>23</v>
      </c>
      <c r="O1629" s="1144">
        <v>1050</v>
      </c>
      <c r="Q1629" s="1163">
        <v>4</v>
      </c>
      <c r="R1629" s="1164" t="s">
        <v>3398</v>
      </c>
      <c r="S1629" s="1162" t="str">
        <f t="shared" si="279"/>
        <v>4 - Potsdam</v>
      </c>
      <c r="W1629" s="1166" t="s">
        <v>3360</v>
      </c>
    </row>
    <row r="1630" spans="1:23" ht="13.2" hidden="1">
      <c r="A1630" s="1320"/>
      <c r="B1630" s="1140" t="s">
        <v>16</v>
      </c>
      <c r="C1630" s="1141">
        <v>28</v>
      </c>
      <c r="D1630" s="1142">
        <v>62</v>
      </c>
      <c r="E1630" s="1142">
        <v>96</v>
      </c>
      <c r="F1630" s="1142">
        <v>192</v>
      </c>
      <c r="G1630" s="1142">
        <v>182</v>
      </c>
      <c r="H1630" s="1142">
        <v>180</v>
      </c>
      <c r="I1630" s="1142">
        <v>197</v>
      </c>
      <c r="J1630" s="1142">
        <v>184</v>
      </c>
      <c r="K1630" s="1142">
        <v>127</v>
      </c>
      <c r="L1630" s="1142">
        <v>90</v>
      </c>
      <c r="M1630" s="1142">
        <v>43</v>
      </c>
      <c r="N1630" s="1143">
        <v>25</v>
      </c>
      <c r="O1630" s="1144">
        <v>1029</v>
      </c>
      <c r="Q1630" s="1160">
        <v>5</v>
      </c>
      <c r="R1630" s="1161" t="s">
        <v>3399</v>
      </c>
      <c r="S1630" s="1162" t="str">
        <f t="shared" si="279"/>
        <v>5 - Essen</v>
      </c>
      <c r="W1630" s="1166" t="s">
        <v>980</v>
      </c>
    </row>
    <row r="1631" spans="1:23" ht="13.2" hidden="1">
      <c r="A1631" s="1320"/>
      <c r="B1631" s="1140" t="s">
        <v>17</v>
      </c>
      <c r="C1631" s="1141">
        <v>28</v>
      </c>
      <c r="D1631" s="1142">
        <v>61</v>
      </c>
      <c r="E1631" s="1142">
        <v>93</v>
      </c>
      <c r="F1631" s="1142">
        <v>183</v>
      </c>
      <c r="G1631" s="1142">
        <v>167</v>
      </c>
      <c r="H1631" s="1142">
        <v>161</v>
      </c>
      <c r="I1631" s="1142">
        <v>180</v>
      </c>
      <c r="J1631" s="1142">
        <v>172</v>
      </c>
      <c r="K1631" s="1142">
        <v>121</v>
      </c>
      <c r="L1631" s="1142">
        <v>88</v>
      </c>
      <c r="M1631" s="1142">
        <v>44</v>
      </c>
      <c r="N1631" s="1143">
        <v>26</v>
      </c>
      <c r="O1631" s="1144">
        <v>969</v>
      </c>
      <c r="Q1631" s="1160">
        <v>6</v>
      </c>
      <c r="R1631" s="1161" t="s">
        <v>3400</v>
      </c>
      <c r="S1631" s="1162" t="str">
        <f t="shared" si="279"/>
        <v>6 - Bad Marienberg</v>
      </c>
      <c r="W1631" s="1166" t="s">
        <v>981</v>
      </c>
    </row>
    <row r="1632" spans="1:23" ht="13.2" hidden="1">
      <c r="A1632" s="1321"/>
      <c r="B1632" s="1137" t="s">
        <v>18</v>
      </c>
      <c r="C1632" s="1134">
        <v>26</v>
      </c>
      <c r="D1632" s="1135">
        <v>52</v>
      </c>
      <c r="E1632" s="1135">
        <v>75</v>
      </c>
      <c r="F1632" s="1135">
        <v>143</v>
      </c>
      <c r="G1632" s="1135">
        <v>122</v>
      </c>
      <c r="H1632" s="1135">
        <v>115</v>
      </c>
      <c r="I1632" s="1135">
        <v>130</v>
      </c>
      <c r="J1632" s="1135">
        <v>130</v>
      </c>
      <c r="K1632" s="1135">
        <v>96</v>
      </c>
      <c r="L1632" s="1135">
        <v>75</v>
      </c>
      <c r="M1632" s="1135">
        <v>39</v>
      </c>
      <c r="N1632" s="1136">
        <v>24</v>
      </c>
      <c r="O1632" s="1145">
        <v>751</v>
      </c>
      <c r="Q1632" s="1160">
        <v>7</v>
      </c>
      <c r="R1632" s="1161" t="s">
        <v>3401</v>
      </c>
      <c r="S1632" s="1162" t="str">
        <f t="shared" si="279"/>
        <v>7 - Kassel</v>
      </c>
      <c r="W1632" s="1166" t="s">
        <v>3361</v>
      </c>
    </row>
    <row r="1633" spans="1:23" ht="13.2" hidden="1">
      <c r="A1633" s="1319" t="s">
        <v>3360</v>
      </c>
      <c r="B1633" s="1140" t="s">
        <v>15</v>
      </c>
      <c r="C1633" s="1141">
        <v>23</v>
      </c>
      <c r="D1633" s="1142">
        <v>54</v>
      </c>
      <c r="E1633" s="1142">
        <v>88</v>
      </c>
      <c r="F1633" s="1142">
        <v>182</v>
      </c>
      <c r="G1633" s="1142">
        <v>182</v>
      </c>
      <c r="H1633" s="1142">
        <v>190</v>
      </c>
      <c r="I1633" s="1142">
        <v>193</v>
      </c>
      <c r="J1633" s="1142">
        <v>176</v>
      </c>
      <c r="K1633" s="1142">
        <v>117</v>
      </c>
      <c r="L1633" s="1142">
        <v>80</v>
      </c>
      <c r="M1633" s="1142">
        <v>37</v>
      </c>
      <c r="N1633" s="1143">
        <v>20</v>
      </c>
      <c r="O1633" s="1144">
        <v>982</v>
      </c>
      <c r="Q1633" s="1160">
        <v>8</v>
      </c>
      <c r="R1633" s="1161" t="s">
        <v>3402</v>
      </c>
      <c r="S1633" s="1162" t="str">
        <f t="shared" si="279"/>
        <v>8 - Braunlage</v>
      </c>
      <c r="W1633" s="1166" t="s">
        <v>3362</v>
      </c>
    </row>
    <row r="1634" spans="1:23" ht="13.2" hidden="1">
      <c r="A1634" s="1320"/>
      <c r="B1634" s="1140" t="s">
        <v>16</v>
      </c>
      <c r="C1634" s="1141">
        <v>23</v>
      </c>
      <c r="D1634" s="1142">
        <v>55</v>
      </c>
      <c r="E1634" s="1142">
        <v>85</v>
      </c>
      <c r="F1634" s="1142">
        <v>176</v>
      </c>
      <c r="G1634" s="1142">
        <v>170</v>
      </c>
      <c r="H1634" s="1142">
        <v>178</v>
      </c>
      <c r="I1634" s="1142">
        <v>179</v>
      </c>
      <c r="J1634" s="1142">
        <v>167</v>
      </c>
      <c r="K1634" s="1142">
        <v>112</v>
      </c>
      <c r="L1634" s="1142">
        <v>80</v>
      </c>
      <c r="M1634" s="1142">
        <v>38</v>
      </c>
      <c r="N1634" s="1143">
        <v>21</v>
      </c>
      <c r="O1634" s="1144">
        <v>939</v>
      </c>
      <c r="Q1634" s="1160">
        <v>9</v>
      </c>
      <c r="R1634" s="1161" t="s">
        <v>3403</v>
      </c>
      <c r="S1634" s="1162" t="str">
        <f t="shared" si="279"/>
        <v>9 - Chemnitz</v>
      </c>
      <c r="W1634" s="1166" t="s">
        <v>12</v>
      </c>
    </row>
    <row r="1635" spans="1:23" ht="13.2" hidden="1">
      <c r="A1635" s="1320"/>
      <c r="B1635" s="1140" t="s">
        <v>17</v>
      </c>
      <c r="C1635" s="1141">
        <v>23</v>
      </c>
      <c r="D1635" s="1142">
        <v>53</v>
      </c>
      <c r="E1635" s="1142">
        <v>79</v>
      </c>
      <c r="F1635" s="1142">
        <v>164</v>
      </c>
      <c r="G1635" s="1142">
        <v>153</v>
      </c>
      <c r="H1635" s="1142">
        <v>160</v>
      </c>
      <c r="I1635" s="1142">
        <v>160</v>
      </c>
      <c r="J1635" s="1142">
        <v>153</v>
      </c>
      <c r="K1635" s="1142">
        <v>103</v>
      </c>
      <c r="L1635" s="1142">
        <v>77</v>
      </c>
      <c r="M1635" s="1142">
        <v>37</v>
      </c>
      <c r="N1635" s="1143">
        <v>21</v>
      </c>
      <c r="O1635" s="1144">
        <v>866</v>
      </c>
      <c r="Q1635" s="1160">
        <v>10</v>
      </c>
      <c r="R1635" s="1161" t="s">
        <v>3404</v>
      </c>
      <c r="S1635" s="1162" t="str">
        <f t="shared" si="279"/>
        <v>10 - Hof</v>
      </c>
    </row>
    <row r="1636" spans="1:23" ht="13.2" hidden="1">
      <c r="A1636" s="1321"/>
      <c r="B1636" s="1137" t="s">
        <v>18</v>
      </c>
      <c r="C1636" s="1134">
        <v>19</v>
      </c>
      <c r="D1636" s="1135">
        <v>43</v>
      </c>
      <c r="E1636" s="1135">
        <v>61</v>
      </c>
      <c r="F1636" s="1135">
        <v>124</v>
      </c>
      <c r="G1636" s="1135">
        <v>110</v>
      </c>
      <c r="H1636" s="1135">
        <v>113</v>
      </c>
      <c r="I1636" s="1135">
        <v>114</v>
      </c>
      <c r="J1636" s="1135">
        <v>112</v>
      </c>
      <c r="K1636" s="1135">
        <v>77</v>
      </c>
      <c r="L1636" s="1135">
        <v>63</v>
      </c>
      <c r="M1636" s="1135">
        <v>31</v>
      </c>
      <c r="N1636" s="1136">
        <v>18</v>
      </c>
      <c r="O1636" s="1145">
        <v>649</v>
      </c>
      <c r="Q1636" s="1160">
        <v>11</v>
      </c>
      <c r="R1636" s="1161" t="s">
        <v>3405</v>
      </c>
      <c r="S1636" s="1162" t="str">
        <f t="shared" si="279"/>
        <v>11 - Fichtelberg</v>
      </c>
    </row>
    <row r="1637" spans="1:23" ht="13.2" hidden="1">
      <c r="A1637" s="1319" t="s">
        <v>980</v>
      </c>
      <c r="B1637" s="1140" t="s">
        <v>15</v>
      </c>
      <c r="C1637" s="1141">
        <v>20</v>
      </c>
      <c r="D1637" s="1142">
        <v>48</v>
      </c>
      <c r="E1637" s="1142">
        <v>84</v>
      </c>
      <c r="F1637" s="1142">
        <v>172</v>
      </c>
      <c r="G1637" s="1142">
        <v>182</v>
      </c>
      <c r="H1637" s="1142">
        <v>185</v>
      </c>
      <c r="I1637" s="1142">
        <v>200</v>
      </c>
      <c r="J1637" s="1142">
        <v>174</v>
      </c>
      <c r="K1637" s="1142">
        <v>115</v>
      </c>
      <c r="L1637" s="1142">
        <v>71</v>
      </c>
      <c r="M1637" s="1142">
        <v>31</v>
      </c>
      <c r="N1637" s="1143">
        <v>17</v>
      </c>
      <c r="O1637" s="1144">
        <v>952</v>
      </c>
      <c r="Q1637" s="1160">
        <v>12</v>
      </c>
      <c r="R1637" s="1161" t="s">
        <v>3406</v>
      </c>
      <c r="S1637" s="1162" t="str">
        <f t="shared" si="279"/>
        <v>12 - Mannheim</v>
      </c>
    </row>
    <row r="1638" spans="1:23" ht="13.2" hidden="1">
      <c r="A1638" s="1320"/>
      <c r="B1638" s="1140" t="s">
        <v>16</v>
      </c>
      <c r="C1638" s="1141">
        <v>19</v>
      </c>
      <c r="D1638" s="1142">
        <v>47</v>
      </c>
      <c r="E1638" s="1142">
        <v>80</v>
      </c>
      <c r="F1638" s="1142">
        <v>165</v>
      </c>
      <c r="G1638" s="1142">
        <v>171</v>
      </c>
      <c r="H1638" s="1142">
        <v>171</v>
      </c>
      <c r="I1638" s="1142">
        <v>188</v>
      </c>
      <c r="J1638" s="1142">
        <v>166</v>
      </c>
      <c r="K1638" s="1142">
        <v>110</v>
      </c>
      <c r="L1638" s="1142">
        <v>68</v>
      </c>
      <c r="M1638" s="1142">
        <v>30</v>
      </c>
      <c r="N1638" s="1143">
        <v>17</v>
      </c>
      <c r="O1638" s="1144">
        <v>902</v>
      </c>
      <c r="Q1638" s="1160">
        <v>13</v>
      </c>
      <c r="R1638" s="1161" t="s">
        <v>3407</v>
      </c>
      <c r="S1638" s="1162" t="str">
        <f t="shared" si="279"/>
        <v>13 - Passau</v>
      </c>
    </row>
    <row r="1639" spans="1:23" ht="13.2" hidden="1">
      <c r="A1639" s="1320"/>
      <c r="B1639" s="1140" t="s">
        <v>17</v>
      </c>
      <c r="C1639" s="1141">
        <v>19</v>
      </c>
      <c r="D1639" s="1142">
        <v>44</v>
      </c>
      <c r="E1639" s="1142">
        <v>75</v>
      </c>
      <c r="F1639" s="1142">
        <v>154</v>
      </c>
      <c r="G1639" s="1142">
        <v>156</v>
      </c>
      <c r="H1639" s="1142">
        <v>154</v>
      </c>
      <c r="I1639" s="1142">
        <v>172</v>
      </c>
      <c r="J1639" s="1142">
        <v>154</v>
      </c>
      <c r="K1639" s="1142">
        <v>103</v>
      </c>
      <c r="L1639" s="1142">
        <v>64</v>
      </c>
      <c r="M1639" s="1142">
        <v>28</v>
      </c>
      <c r="N1639" s="1143">
        <v>16</v>
      </c>
      <c r="O1639" s="1144">
        <v>833</v>
      </c>
      <c r="Q1639" s="1160">
        <v>14</v>
      </c>
      <c r="R1639" s="1161" t="s">
        <v>3408</v>
      </c>
      <c r="S1639" s="1162" t="str">
        <f t="shared" si="279"/>
        <v>14 - Stötten</v>
      </c>
    </row>
    <row r="1640" spans="1:23" ht="13.2" hidden="1">
      <c r="A1640" s="1321"/>
      <c r="B1640" s="1137" t="s">
        <v>18</v>
      </c>
      <c r="C1640" s="1134">
        <v>15</v>
      </c>
      <c r="D1640" s="1135">
        <v>35</v>
      </c>
      <c r="E1640" s="1135">
        <v>59</v>
      </c>
      <c r="F1640" s="1135">
        <v>122</v>
      </c>
      <c r="G1640" s="1135">
        <v>118</v>
      </c>
      <c r="H1640" s="1135">
        <v>115</v>
      </c>
      <c r="I1640" s="1135">
        <v>130</v>
      </c>
      <c r="J1640" s="1135">
        <v>119</v>
      </c>
      <c r="K1640" s="1135">
        <v>80</v>
      </c>
      <c r="L1640" s="1135">
        <v>51</v>
      </c>
      <c r="M1640" s="1135">
        <v>23</v>
      </c>
      <c r="N1640" s="1136">
        <v>13</v>
      </c>
      <c r="O1640" s="1145">
        <v>644</v>
      </c>
      <c r="Q1640" s="1160">
        <v>15</v>
      </c>
      <c r="R1640" s="1161" t="s">
        <v>3409</v>
      </c>
      <c r="S1640" s="1162" t="str">
        <f t="shared" si="279"/>
        <v>15 - Garmisch-Partenkirchen</v>
      </c>
    </row>
    <row r="1641" spans="1:23" ht="13.2" hidden="1">
      <c r="A1641" s="1319" t="s">
        <v>981</v>
      </c>
      <c r="B1641" s="1140" t="s">
        <v>15</v>
      </c>
      <c r="C1641" s="1141">
        <v>17</v>
      </c>
      <c r="D1641" s="1142">
        <v>43</v>
      </c>
      <c r="E1641" s="1142">
        <v>74</v>
      </c>
      <c r="F1641" s="1142">
        <v>155</v>
      </c>
      <c r="G1641" s="1142">
        <v>168</v>
      </c>
      <c r="H1641" s="1142">
        <v>180</v>
      </c>
      <c r="I1641" s="1142">
        <v>179</v>
      </c>
      <c r="J1641" s="1142">
        <v>156</v>
      </c>
      <c r="K1641" s="1142">
        <v>101</v>
      </c>
      <c r="L1641" s="1142">
        <v>64</v>
      </c>
      <c r="M1641" s="1142">
        <v>27</v>
      </c>
      <c r="N1641" s="1143">
        <v>14</v>
      </c>
      <c r="O1641" s="1144">
        <v>863</v>
      </c>
    </row>
    <row r="1642" spans="1:23" ht="13.2" hidden="1">
      <c r="A1642" s="1320"/>
      <c r="B1642" s="1140" t="s">
        <v>16</v>
      </c>
      <c r="C1642" s="1141">
        <v>16</v>
      </c>
      <c r="D1642" s="1142">
        <v>40</v>
      </c>
      <c r="E1642" s="1142">
        <v>67</v>
      </c>
      <c r="F1642" s="1142">
        <v>143</v>
      </c>
      <c r="G1642" s="1142">
        <v>153</v>
      </c>
      <c r="H1642" s="1142">
        <v>166</v>
      </c>
      <c r="I1642" s="1142">
        <v>162</v>
      </c>
      <c r="J1642" s="1142">
        <v>143</v>
      </c>
      <c r="K1642" s="1142">
        <v>92</v>
      </c>
      <c r="L1642" s="1142">
        <v>59</v>
      </c>
      <c r="M1642" s="1142">
        <v>25</v>
      </c>
      <c r="N1642" s="1143">
        <v>13</v>
      </c>
      <c r="O1642" s="1144">
        <v>790</v>
      </c>
    </row>
    <row r="1643" spans="1:23" ht="13.2" hidden="1">
      <c r="A1643" s="1320"/>
      <c r="B1643" s="1140" t="s">
        <v>17</v>
      </c>
      <c r="C1643" s="1141">
        <v>14</v>
      </c>
      <c r="D1643" s="1142">
        <v>36</v>
      </c>
      <c r="E1643" s="1142">
        <v>60</v>
      </c>
      <c r="F1643" s="1142">
        <v>130</v>
      </c>
      <c r="G1643" s="1142">
        <v>136</v>
      </c>
      <c r="H1643" s="1142">
        <v>148</v>
      </c>
      <c r="I1643" s="1142">
        <v>143</v>
      </c>
      <c r="J1643" s="1142">
        <v>128</v>
      </c>
      <c r="K1643" s="1142">
        <v>82</v>
      </c>
      <c r="L1643" s="1142">
        <v>53</v>
      </c>
      <c r="M1643" s="1142">
        <v>23</v>
      </c>
      <c r="N1643" s="1143">
        <v>12</v>
      </c>
      <c r="O1643" s="1144">
        <v>707</v>
      </c>
    </row>
    <row r="1644" spans="1:23" ht="13.2" hidden="1">
      <c r="A1644" s="1321"/>
      <c r="B1644" s="1137" t="s">
        <v>18</v>
      </c>
      <c r="C1644" s="1134">
        <v>10</v>
      </c>
      <c r="D1644" s="1135">
        <v>27</v>
      </c>
      <c r="E1644" s="1135">
        <v>45</v>
      </c>
      <c r="F1644" s="1135">
        <v>98</v>
      </c>
      <c r="G1644" s="1135">
        <v>99</v>
      </c>
      <c r="H1644" s="1135">
        <v>108</v>
      </c>
      <c r="I1644" s="1135">
        <v>104</v>
      </c>
      <c r="J1644" s="1135">
        <v>95</v>
      </c>
      <c r="K1644" s="1135">
        <v>61</v>
      </c>
      <c r="L1644" s="1135">
        <v>40</v>
      </c>
      <c r="M1644" s="1135">
        <v>17</v>
      </c>
      <c r="N1644" s="1136">
        <v>9</v>
      </c>
      <c r="O1644" s="1145">
        <v>523</v>
      </c>
    </row>
    <row r="1645" spans="1:23" ht="13.2" hidden="1">
      <c r="A1645" s="1319" t="s">
        <v>3361</v>
      </c>
      <c r="B1645" s="1140" t="s">
        <v>15</v>
      </c>
      <c r="C1645" s="1141">
        <v>14</v>
      </c>
      <c r="D1645" s="1142">
        <v>35</v>
      </c>
      <c r="E1645" s="1142">
        <v>62</v>
      </c>
      <c r="F1645" s="1142">
        <v>129</v>
      </c>
      <c r="G1645" s="1142">
        <v>153</v>
      </c>
      <c r="H1645" s="1142">
        <v>169</v>
      </c>
      <c r="I1645" s="1142">
        <v>167</v>
      </c>
      <c r="J1645" s="1142">
        <v>137</v>
      </c>
      <c r="K1645" s="1142">
        <v>87</v>
      </c>
      <c r="L1645" s="1142">
        <v>50</v>
      </c>
      <c r="M1645" s="1142">
        <v>21</v>
      </c>
      <c r="N1645" s="1143">
        <v>11</v>
      </c>
      <c r="O1645" s="1144">
        <v>757</v>
      </c>
    </row>
    <row r="1646" spans="1:23" ht="13.2" hidden="1">
      <c r="A1646" s="1320"/>
      <c r="B1646" s="1140" t="s">
        <v>16</v>
      </c>
      <c r="C1646" s="1141">
        <v>13</v>
      </c>
      <c r="D1646" s="1142">
        <v>30</v>
      </c>
      <c r="E1646" s="1142">
        <v>53</v>
      </c>
      <c r="F1646" s="1142">
        <v>109</v>
      </c>
      <c r="G1646" s="1142">
        <v>132</v>
      </c>
      <c r="H1646" s="1142">
        <v>148</v>
      </c>
      <c r="I1646" s="1142">
        <v>143</v>
      </c>
      <c r="J1646" s="1142">
        <v>117</v>
      </c>
      <c r="K1646" s="1142">
        <v>76</v>
      </c>
      <c r="L1646" s="1142">
        <v>43</v>
      </c>
      <c r="M1646" s="1142">
        <v>19</v>
      </c>
      <c r="N1646" s="1143">
        <v>10</v>
      </c>
      <c r="O1646" s="1144">
        <v>654</v>
      </c>
    </row>
    <row r="1647" spans="1:23" ht="13.2" hidden="1">
      <c r="A1647" s="1320"/>
      <c r="B1647" s="1140" t="s">
        <v>17</v>
      </c>
      <c r="C1647" s="1141">
        <v>11</v>
      </c>
      <c r="D1647" s="1142">
        <v>27</v>
      </c>
      <c r="E1647" s="1142">
        <v>46</v>
      </c>
      <c r="F1647" s="1142">
        <v>94</v>
      </c>
      <c r="G1647" s="1142">
        <v>114</v>
      </c>
      <c r="H1647" s="1142">
        <v>127</v>
      </c>
      <c r="I1647" s="1142">
        <v>123</v>
      </c>
      <c r="J1647" s="1142">
        <v>101</v>
      </c>
      <c r="K1647" s="1142">
        <v>66</v>
      </c>
      <c r="L1647" s="1142">
        <v>38</v>
      </c>
      <c r="M1647" s="1142">
        <v>17</v>
      </c>
      <c r="N1647" s="1143">
        <v>9</v>
      </c>
      <c r="O1647" s="1144">
        <v>566</v>
      </c>
    </row>
    <row r="1648" spans="1:23" ht="13.2" hidden="1">
      <c r="A1648" s="1321"/>
      <c r="B1648" s="1137" t="s">
        <v>18</v>
      </c>
      <c r="C1648" s="1134">
        <v>8</v>
      </c>
      <c r="D1648" s="1135">
        <v>21</v>
      </c>
      <c r="E1648" s="1135">
        <v>35</v>
      </c>
      <c r="F1648" s="1135">
        <v>71</v>
      </c>
      <c r="G1648" s="1135">
        <v>83</v>
      </c>
      <c r="H1648" s="1135">
        <v>92</v>
      </c>
      <c r="I1648" s="1135">
        <v>89</v>
      </c>
      <c r="J1648" s="1135">
        <v>75</v>
      </c>
      <c r="K1648" s="1135">
        <v>49</v>
      </c>
      <c r="L1648" s="1135">
        <v>29</v>
      </c>
      <c r="M1648" s="1135">
        <v>13</v>
      </c>
      <c r="N1648" s="1136">
        <v>7</v>
      </c>
      <c r="O1648" s="1145">
        <v>419</v>
      </c>
    </row>
    <row r="1649" spans="1:25" ht="13.2" hidden="1">
      <c r="A1649" s="1319" t="s">
        <v>3362</v>
      </c>
      <c r="B1649" s="1140" t="s">
        <v>15</v>
      </c>
      <c r="C1649" s="1141">
        <v>14</v>
      </c>
      <c r="D1649" s="1142">
        <v>37</v>
      </c>
      <c r="E1649" s="1142">
        <v>68</v>
      </c>
      <c r="F1649" s="1142">
        <v>142</v>
      </c>
      <c r="G1649" s="1142">
        <v>165</v>
      </c>
      <c r="H1649" s="1142">
        <v>173</v>
      </c>
      <c r="I1649" s="1142">
        <v>183</v>
      </c>
      <c r="J1649" s="1142">
        <v>151</v>
      </c>
      <c r="K1649" s="1142">
        <v>97</v>
      </c>
      <c r="L1649" s="1142">
        <v>53</v>
      </c>
      <c r="M1649" s="1142">
        <v>22</v>
      </c>
      <c r="N1649" s="1143">
        <v>12</v>
      </c>
      <c r="O1649" s="1144">
        <v>818</v>
      </c>
    </row>
    <row r="1650" spans="1:25" ht="13.2" hidden="1">
      <c r="A1650" s="1320"/>
      <c r="B1650" s="1140" t="s">
        <v>16</v>
      </c>
      <c r="C1650" s="1141">
        <v>13</v>
      </c>
      <c r="D1650" s="1142">
        <v>33</v>
      </c>
      <c r="E1650" s="1142">
        <v>60</v>
      </c>
      <c r="F1650" s="1142">
        <v>124</v>
      </c>
      <c r="G1650" s="1142">
        <v>147</v>
      </c>
      <c r="H1650" s="1142">
        <v>154</v>
      </c>
      <c r="I1650" s="1142">
        <v>164</v>
      </c>
      <c r="J1650" s="1142">
        <v>134</v>
      </c>
      <c r="K1650" s="1142">
        <v>86</v>
      </c>
      <c r="L1650" s="1142">
        <v>47</v>
      </c>
      <c r="M1650" s="1142">
        <v>20</v>
      </c>
      <c r="N1650" s="1143">
        <v>11</v>
      </c>
      <c r="O1650" s="1144">
        <v>727</v>
      </c>
    </row>
    <row r="1651" spans="1:25" ht="13.2" hidden="1">
      <c r="A1651" s="1320"/>
      <c r="B1651" s="1140" t="s">
        <v>17</v>
      </c>
      <c r="C1651" s="1141">
        <v>11</v>
      </c>
      <c r="D1651" s="1142">
        <v>29</v>
      </c>
      <c r="E1651" s="1142">
        <v>53</v>
      </c>
      <c r="F1651" s="1142">
        <v>110</v>
      </c>
      <c r="G1651" s="1142">
        <v>129</v>
      </c>
      <c r="H1651" s="1142">
        <v>135</v>
      </c>
      <c r="I1651" s="1142">
        <v>145</v>
      </c>
      <c r="J1651" s="1142">
        <v>118</v>
      </c>
      <c r="K1651" s="1142">
        <v>76</v>
      </c>
      <c r="L1651" s="1142">
        <v>42</v>
      </c>
      <c r="M1651" s="1142">
        <v>18</v>
      </c>
      <c r="N1651" s="1143">
        <v>9</v>
      </c>
      <c r="O1651" s="1144">
        <v>642</v>
      </c>
    </row>
    <row r="1652" spans="1:25" ht="13.2" hidden="1">
      <c r="A1652" s="1321"/>
      <c r="B1652" s="1137" t="s">
        <v>18</v>
      </c>
      <c r="C1652" s="1134">
        <v>9</v>
      </c>
      <c r="D1652" s="1135">
        <v>23</v>
      </c>
      <c r="E1652" s="1135">
        <v>41</v>
      </c>
      <c r="F1652" s="1135">
        <v>86</v>
      </c>
      <c r="G1652" s="1135">
        <v>96</v>
      </c>
      <c r="H1652" s="1135">
        <v>100</v>
      </c>
      <c r="I1652" s="1135">
        <v>108</v>
      </c>
      <c r="J1652" s="1135">
        <v>90</v>
      </c>
      <c r="K1652" s="1135">
        <v>58</v>
      </c>
      <c r="L1652" s="1135">
        <v>33</v>
      </c>
      <c r="M1652" s="1135">
        <v>13</v>
      </c>
      <c r="N1652" s="1136">
        <v>7</v>
      </c>
      <c r="O1652" s="1145">
        <v>486</v>
      </c>
    </row>
    <row r="1653" spans="1:25" ht="13.2" hidden="1">
      <c r="A1653" s="1319" t="s">
        <v>12</v>
      </c>
      <c r="B1653" s="1140" t="s">
        <v>15</v>
      </c>
      <c r="C1653" s="1141">
        <v>14</v>
      </c>
      <c r="D1653" s="1142">
        <v>32</v>
      </c>
      <c r="E1653" s="1142">
        <v>57</v>
      </c>
      <c r="F1653" s="1142">
        <v>121</v>
      </c>
      <c r="G1653" s="1142">
        <v>153</v>
      </c>
      <c r="H1653" s="1142">
        <v>167</v>
      </c>
      <c r="I1653" s="1142">
        <v>169</v>
      </c>
      <c r="J1653" s="1142">
        <v>135</v>
      </c>
      <c r="K1653" s="1142">
        <v>84</v>
      </c>
      <c r="L1653" s="1142">
        <v>44</v>
      </c>
      <c r="M1653" s="1142">
        <v>20</v>
      </c>
      <c r="N1653" s="1143">
        <v>11</v>
      </c>
      <c r="O1653" s="1144">
        <v>738</v>
      </c>
    </row>
    <row r="1654" spans="1:25" ht="13.2" hidden="1">
      <c r="A1654" s="1320"/>
      <c r="B1654" s="1140" t="s">
        <v>16</v>
      </c>
      <c r="C1654" s="1141">
        <v>12</v>
      </c>
      <c r="D1654" s="1142">
        <v>29</v>
      </c>
      <c r="E1654" s="1142">
        <v>48</v>
      </c>
      <c r="F1654" s="1142">
        <v>92</v>
      </c>
      <c r="G1654" s="1142">
        <v>128</v>
      </c>
      <c r="H1654" s="1142">
        <v>143</v>
      </c>
      <c r="I1654" s="1142">
        <v>144</v>
      </c>
      <c r="J1654" s="1142">
        <v>108</v>
      </c>
      <c r="K1654" s="1142">
        <v>69</v>
      </c>
      <c r="L1654" s="1142">
        <v>40</v>
      </c>
      <c r="M1654" s="1142">
        <v>19</v>
      </c>
      <c r="N1654" s="1143">
        <v>10</v>
      </c>
      <c r="O1654" s="1144">
        <v>616</v>
      </c>
    </row>
    <row r="1655" spans="1:25" ht="13.2" hidden="1">
      <c r="A1655" s="1320"/>
      <c r="B1655" s="1140" t="s">
        <v>17</v>
      </c>
      <c r="C1655" s="1141">
        <v>11</v>
      </c>
      <c r="D1655" s="1142">
        <v>26</v>
      </c>
      <c r="E1655" s="1142">
        <v>43</v>
      </c>
      <c r="F1655" s="1142">
        <v>78</v>
      </c>
      <c r="G1655" s="1142">
        <v>104</v>
      </c>
      <c r="H1655" s="1142">
        <v>116</v>
      </c>
      <c r="I1655" s="1142">
        <v>116</v>
      </c>
      <c r="J1655" s="1142">
        <v>89</v>
      </c>
      <c r="K1655" s="1142">
        <v>61</v>
      </c>
      <c r="L1655" s="1142">
        <v>36</v>
      </c>
      <c r="M1655" s="1142">
        <v>17</v>
      </c>
      <c r="N1655" s="1143">
        <v>9</v>
      </c>
      <c r="O1655" s="1144">
        <v>516</v>
      </c>
    </row>
    <row r="1656" spans="1:25" ht="13.2" hidden="1">
      <c r="A1656" s="1321"/>
      <c r="B1656" s="1137" t="s">
        <v>18</v>
      </c>
      <c r="C1656" s="1134">
        <v>8</v>
      </c>
      <c r="D1656" s="1135">
        <v>20</v>
      </c>
      <c r="E1656" s="1135">
        <v>33</v>
      </c>
      <c r="F1656" s="1135">
        <v>63</v>
      </c>
      <c r="G1656" s="1135">
        <v>77</v>
      </c>
      <c r="H1656" s="1135">
        <v>84</v>
      </c>
      <c r="I1656" s="1135">
        <v>85</v>
      </c>
      <c r="J1656" s="1135">
        <v>68</v>
      </c>
      <c r="K1656" s="1135">
        <v>47</v>
      </c>
      <c r="L1656" s="1135">
        <v>28</v>
      </c>
      <c r="M1656" s="1135">
        <v>13</v>
      </c>
      <c r="N1656" s="1136">
        <v>7</v>
      </c>
      <c r="O1656" s="1145">
        <v>390</v>
      </c>
    </row>
    <row r="1657" spans="1:25" ht="39.6" hidden="1">
      <c r="A1657" s="1146"/>
      <c r="B1657" s="1147"/>
      <c r="C1657" s="1375" t="s">
        <v>3363</v>
      </c>
      <c r="D1657" s="1376"/>
      <c r="E1657" s="1376"/>
      <c r="F1657" s="1376"/>
      <c r="G1657" s="1376"/>
      <c r="H1657" s="1376"/>
      <c r="I1657" s="1376"/>
      <c r="J1657" s="1376"/>
      <c r="K1657" s="1376"/>
      <c r="L1657" s="1376"/>
      <c r="M1657" s="1376"/>
      <c r="N1657" s="1377"/>
      <c r="O1657" s="1131" t="s">
        <v>3364</v>
      </c>
    </row>
    <row r="1658" spans="1:25" ht="13.2" hidden="1">
      <c r="A1658" s="1148" t="s">
        <v>1894</v>
      </c>
      <c r="B1658" s="1149"/>
      <c r="C1658" s="1150">
        <v>2.9</v>
      </c>
      <c r="D1658" s="1151">
        <v>3.2</v>
      </c>
      <c r="E1658" s="1151">
        <v>5.4</v>
      </c>
      <c r="F1658" s="1151">
        <v>9</v>
      </c>
      <c r="G1658" s="1151">
        <v>13.1</v>
      </c>
      <c r="H1658" s="1151">
        <v>16</v>
      </c>
      <c r="I1658" s="1151">
        <v>17.899999999999999</v>
      </c>
      <c r="J1658" s="1151">
        <v>18.2</v>
      </c>
      <c r="K1658" s="1151">
        <v>15</v>
      </c>
      <c r="L1658" s="1151">
        <v>10.6</v>
      </c>
      <c r="M1658" s="1151">
        <v>6.1</v>
      </c>
      <c r="N1658" s="1152">
        <v>3.2</v>
      </c>
      <c r="O1658" s="1153">
        <v>10.1</v>
      </c>
    </row>
    <row r="1659" spans="1:25" s="1130" customFormat="1" ht="13.2" hidden="1">
      <c r="A1659" s="1154"/>
      <c r="B1659" s="1154"/>
      <c r="C1659" s="1155"/>
      <c r="D1659" s="1155"/>
      <c r="E1659" s="1155"/>
      <c r="F1659" s="1155"/>
      <c r="G1659" s="1155"/>
      <c r="H1659" s="1155"/>
      <c r="I1659" s="1155"/>
      <c r="J1659" s="1155"/>
      <c r="K1659" s="1155"/>
      <c r="L1659" s="1155"/>
      <c r="M1659" s="1155"/>
      <c r="N1659" s="1155"/>
      <c r="O1659" s="1155"/>
      <c r="P1659" s="1155"/>
      <c r="Q1659" s="1129"/>
    </row>
    <row r="1660" spans="1:25" s="1130" customFormat="1" ht="13.2" hidden="1">
      <c r="A1660" s="1154"/>
      <c r="B1660" s="1154"/>
      <c r="C1660" s="1155"/>
      <c r="D1660" s="1155"/>
      <c r="E1660" s="1155"/>
      <c r="F1660" s="1155"/>
      <c r="G1660" s="1155"/>
      <c r="H1660" s="1155"/>
      <c r="I1660" s="1155"/>
      <c r="J1660" s="1155"/>
      <c r="K1660" s="1155"/>
      <c r="L1660" s="1155"/>
      <c r="M1660" s="1155"/>
      <c r="N1660" s="1155"/>
      <c r="O1660" s="1155"/>
      <c r="P1660" s="1155"/>
      <c r="Q1660" s="1129"/>
    </row>
    <row r="1661" spans="1:25" s="1130" customFormat="1" ht="13.2" hidden="1">
      <c r="A1661" s="1129" t="s">
        <v>3365</v>
      </c>
      <c r="Q1661" s="1129"/>
    </row>
    <row r="1662" spans="1:25" s="1130" customFormat="1" ht="13.2" hidden="1">
      <c r="Q1662" s="1129"/>
    </row>
    <row r="1663" spans="1:25" s="1130" customFormat="1" ht="66" hidden="1">
      <c r="A1663" s="1314" t="s">
        <v>3366</v>
      </c>
      <c r="B1663" s="1315"/>
      <c r="C1663" s="1316" t="s">
        <v>3355</v>
      </c>
      <c r="D1663" s="1317"/>
      <c r="E1663" s="1317"/>
      <c r="F1663" s="1317"/>
      <c r="G1663" s="1317"/>
      <c r="H1663" s="1317"/>
      <c r="I1663" s="1317"/>
      <c r="J1663" s="1317"/>
      <c r="K1663" s="1317"/>
      <c r="L1663" s="1317"/>
      <c r="M1663" s="1317"/>
      <c r="N1663" s="1318"/>
      <c r="O1663" s="1131" t="s">
        <v>3356</v>
      </c>
      <c r="P1663" s="323"/>
      <c r="Q1663" s="1156">
        <v>2</v>
      </c>
      <c r="R1663" s="326"/>
      <c r="S1663" s="326"/>
      <c r="T1663" s="327"/>
      <c r="U1663" s="326"/>
      <c r="V1663" s="328"/>
      <c r="W1663" s="323"/>
      <c r="X1663" s="323"/>
      <c r="Y1663" s="323"/>
    </row>
    <row r="1664" spans="1:25" s="1130" customFormat="1" ht="13.2" hidden="1">
      <c r="A1664" s="1132" t="s">
        <v>77</v>
      </c>
      <c r="B1664" s="1133" t="s">
        <v>1795</v>
      </c>
      <c r="C1664" s="1134" t="s">
        <v>116</v>
      </c>
      <c r="D1664" s="1135" t="s">
        <v>117</v>
      </c>
      <c r="E1664" s="1135" t="s">
        <v>118</v>
      </c>
      <c r="F1664" s="1135" t="s">
        <v>119</v>
      </c>
      <c r="G1664" s="1135" t="s">
        <v>120</v>
      </c>
      <c r="H1664" s="1135" t="s">
        <v>121</v>
      </c>
      <c r="I1664" s="1135" t="s">
        <v>122</v>
      </c>
      <c r="J1664" s="1135" t="s">
        <v>123</v>
      </c>
      <c r="K1664" s="1135" t="s">
        <v>124</v>
      </c>
      <c r="L1664" s="1135" t="s">
        <v>125</v>
      </c>
      <c r="M1664" s="1135" t="s">
        <v>126</v>
      </c>
      <c r="N1664" s="1136" t="s">
        <v>127</v>
      </c>
      <c r="O1664" s="1137" t="s">
        <v>3357</v>
      </c>
      <c r="P1664" s="323"/>
      <c r="Q1664" s="323"/>
      <c r="R1664" s="326"/>
      <c r="S1664" s="326"/>
      <c r="T1664" s="327"/>
      <c r="U1664" s="326"/>
      <c r="V1664" s="328"/>
      <c r="W1664" s="323"/>
      <c r="X1664" s="323"/>
      <c r="Y1664" s="323"/>
    </row>
    <row r="1665" spans="1:25" s="1130" customFormat="1" ht="13.2" hidden="1">
      <c r="A1665" s="1138" t="s">
        <v>3358</v>
      </c>
      <c r="B1665" s="1137" t="s">
        <v>14</v>
      </c>
      <c r="C1665" s="1134">
        <v>19</v>
      </c>
      <c r="D1665" s="1135">
        <v>40</v>
      </c>
      <c r="E1665" s="1135">
        <v>110</v>
      </c>
      <c r="F1665" s="1135">
        <v>179</v>
      </c>
      <c r="G1665" s="1135">
        <v>189</v>
      </c>
      <c r="H1665" s="1135">
        <v>246</v>
      </c>
      <c r="I1665" s="1135">
        <v>221</v>
      </c>
      <c r="J1665" s="1135">
        <v>191</v>
      </c>
      <c r="K1665" s="1135">
        <v>116</v>
      </c>
      <c r="L1665" s="1135">
        <v>77</v>
      </c>
      <c r="M1665" s="1135">
        <v>30</v>
      </c>
      <c r="N1665" s="1136">
        <v>12</v>
      </c>
      <c r="O1665" s="1139">
        <v>1048</v>
      </c>
      <c r="P1665" s="323"/>
      <c r="Q1665" s="323"/>
      <c r="R1665" s="326"/>
      <c r="S1665" s="326"/>
      <c r="T1665" s="327"/>
      <c r="U1665" s="326"/>
      <c r="V1665" s="328"/>
      <c r="W1665" s="323"/>
      <c r="X1665" s="323"/>
      <c r="Y1665" s="323"/>
    </row>
    <row r="1666" spans="1:25" s="1130" customFormat="1" ht="13.2" hidden="1">
      <c r="A1666" s="1319" t="s">
        <v>11</v>
      </c>
      <c r="B1666" s="1140" t="s">
        <v>15</v>
      </c>
      <c r="C1666" s="1141">
        <v>28</v>
      </c>
      <c r="D1666" s="1142">
        <v>56</v>
      </c>
      <c r="E1666" s="1142">
        <v>146</v>
      </c>
      <c r="F1666" s="1142">
        <v>211</v>
      </c>
      <c r="G1666" s="1142">
        <v>195</v>
      </c>
      <c r="H1666" s="1142">
        <v>250</v>
      </c>
      <c r="I1666" s="1142">
        <v>226</v>
      </c>
      <c r="J1666" s="1142">
        <v>214</v>
      </c>
      <c r="K1666" s="1142">
        <v>134</v>
      </c>
      <c r="L1666" s="1142">
        <v>112</v>
      </c>
      <c r="M1666" s="1142">
        <v>44</v>
      </c>
      <c r="N1666" s="1143">
        <v>15</v>
      </c>
      <c r="O1666" s="1144">
        <v>1193</v>
      </c>
      <c r="P1666" s="323"/>
      <c r="Q1666" s="323"/>
      <c r="R1666" s="326"/>
      <c r="S1666" s="326"/>
      <c r="T1666" s="327"/>
      <c r="U1666" s="326"/>
      <c r="V1666" s="328"/>
      <c r="W1666" s="323"/>
      <c r="X1666" s="323"/>
      <c r="Y1666" s="323"/>
    </row>
    <row r="1667" spans="1:25" s="1130" customFormat="1" ht="13.2" hidden="1">
      <c r="A1667" s="1320"/>
      <c r="B1667" s="1140" t="s">
        <v>16</v>
      </c>
      <c r="C1667" s="1141">
        <v>31</v>
      </c>
      <c r="D1667" s="1142">
        <v>60</v>
      </c>
      <c r="E1667" s="1142">
        <v>153</v>
      </c>
      <c r="F1667" s="1142">
        <v>211</v>
      </c>
      <c r="G1667" s="1142">
        <v>185</v>
      </c>
      <c r="H1667" s="1142">
        <v>234</v>
      </c>
      <c r="I1667" s="1142">
        <v>213</v>
      </c>
      <c r="J1667" s="1142">
        <v>210</v>
      </c>
      <c r="K1667" s="1142">
        <v>134</v>
      </c>
      <c r="L1667" s="1142">
        <v>121</v>
      </c>
      <c r="M1667" s="1142">
        <v>47</v>
      </c>
      <c r="N1667" s="1143">
        <v>15</v>
      </c>
      <c r="O1667" s="1144">
        <v>1181</v>
      </c>
      <c r="P1667" s="323"/>
      <c r="Q1667" s="323"/>
      <c r="R1667" s="326"/>
      <c r="S1667" s="326"/>
      <c r="T1667" s="327"/>
      <c r="U1667" s="326"/>
      <c r="V1667" s="328"/>
      <c r="W1667" s="323"/>
      <c r="X1667" s="323"/>
      <c r="Y1667" s="323"/>
    </row>
    <row r="1668" spans="1:25" s="1130" customFormat="1" ht="13.2" hidden="1">
      <c r="A1668" s="1320"/>
      <c r="B1668" s="1140" t="s">
        <v>17</v>
      </c>
      <c r="C1668" s="1141">
        <v>33</v>
      </c>
      <c r="D1668" s="1142">
        <v>61</v>
      </c>
      <c r="E1668" s="1142">
        <v>152</v>
      </c>
      <c r="F1668" s="1142">
        <v>200</v>
      </c>
      <c r="G1668" s="1142">
        <v>168</v>
      </c>
      <c r="H1668" s="1142">
        <v>207</v>
      </c>
      <c r="I1668" s="1142">
        <v>190</v>
      </c>
      <c r="J1668" s="1142">
        <v>195</v>
      </c>
      <c r="K1668" s="1142">
        <v>128</v>
      </c>
      <c r="L1668" s="1142">
        <v>123</v>
      </c>
      <c r="M1668" s="1142">
        <v>49</v>
      </c>
      <c r="N1668" s="1143">
        <v>15</v>
      </c>
      <c r="O1668" s="1144">
        <v>1114</v>
      </c>
      <c r="P1668" s="323"/>
      <c r="Q1668" s="323"/>
      <c r="R1668" s="326"/>
      <c r="S1668" s="326"/>
      <c r="T1668" s="327"/>
      <c r="U1668" s="326"/>
      <c r="V1668" s="328"/>
      <c r="W1668" s="323"/>
      <c r="X1668" s="323"/>
      <c r="Y1668" s="323"/>
    </row>
    <row r="1669" spans="1:25" s="1130" customFormat="1" ht="13.2" hidden="1">
      <c r="A1669" s="1321"/>
      <c r="B1669" s="1137" t="s">
        <v>18</v>
      </c>
      <c r="C1669" s="1134">
        <v>31</v>
      </c>
      <c r="D1669" s="1135">
        <v>55</v>
      </c>
      <c r="E1669" s="1135">
        <v>126</v>
      </c>
      <c r="F1669" s="1135">
        <v>151</v>
      </c>
      <c r="G1669" s="1135">
        <v>116</v>
      </c>
      <c r="H1669" s="1135">
        <v>134</v>
      </c>
      <c r="I1669" s="1135">
        <v>126</v>
      </c>
      <c r="J1669" s="1135">
        <v>140</v>
      </c>
      <c r="K1669" s="1135">
        <v>100</v>
      </c>
      <c r="L1669" s="1135">
        <v>108</v>
      </c>
      <c r="M1669" s="1135">
        <v>45</v>
      </c>
      <c r="N1669" s="1136">
        <v>14</v>
      </c>
      <c r="O1669" s="1145">
        <v>838</v>
      </c>
      <c r="P1669" s="323"/>
      <c r="Q1669" s="323"/>
      <c r="R1669" s="326"/>
      <c r="S1669" s="326"/>
      <c r="T1669" s="327"/>
      <c r="U1669" s="326"/>
      <c r="V1669" s="328"/>
      <c r="W1669" s="323"/>
      <c r="X1669" s="323"/>
      <c r="Y1669" s="323"/>
    </row>
    <row r="1670" spans="1:25" s="1130" customFormat="1" ht="13.2" hidden="1">
      <c r="A1670" s="1319" t="s">
        <v>3359</v>
      </c>
      <c r="B1670" s="1140" t="s">
        <v>15</v>
      </c>
      <c r="C1670" s="1141">
        <v>27</v>
      </c>
      <c r="D1670" s="1142">
        <v>52</v>
      </c>
      <c r="E1670" s="1142">
        <v>133</v>
      </c>
      <c r="F1670" s="1142">
        <v>202</v>
      </c>
      <c r="G1670" s="1142">
        <v>193</v>
      </c>
      <c r="H1670" s="1142">
        <v>246</v>
      </c>
      <c r="I1670" s="1142">
        <v>227</v>
      </c>
      <c r="J1670" s="1142">
        <v>210</v>
      </c>
      <c r="K1670" s="1142">
        <v>132</v>
      </c>
      <c r="L1670" s="1142">
        <v>100</v>
      </c>
      <c r="M1670" s="1142">
        <v>39</v>
      </c>
      <c r="N1670" s="1143">
        <v>14</v>
      </c>
      <c r="O1670" s="1144">
        <v>1153</v>
      </c>
      <c r="P1670" s="323"/>
      <c r="Q1670" s="323"/>
      <c r="R1670" s="326"/>
      <c r="S1670" s="326"/>
      <c r="T1670" s="327"/>
      <c r="U1670" s="326"/>
      <c r="V1670" s="328"/>
      <c r="W1670" s="323"/>
      <c r="X1670" s="323"/>
      <c r="Y1670" s="323"/>
    </row>
    <row r="1671" spans="1:25" s="1130" customFormat="1" ht="13.2" hidden="1">
      <c r="A1671" s="1320"/>
      <c r="B1671" s="1140" t="s">
        <v>16</v>
      </c>
      <c r="C1671" s="1141">
        <v>29</v>
      </c>
      <c r="D1671" s="1142">
        <v>55</v>
      </c>
      <c r="E1671" s="1142">
        <v>136</v>
      </c>
      <c r="F1671" s="1142">
        <v>201</v>
      </c>
      <c r="G1671" s="1142">
        <v>183</v>
      </c>
      <c r="H1671" s="1142">
        <v>230</v>
      </c>
      <c r="I1671" s="1142">
        <v>216</v>
      </c>
      <c r="J1671" s="1142">
        <v>205</v>
      </c>
      <c r="K1671" s="1142">
        <v>132</v>
      </c>
      <c r="L1671" s="1142">
        <v>105</v>
      </c>
      <c r="M1671" s="1142">
        <v>41</v>
      </c>
      <c r="N1671" s="1143">
        <v>14</v>
      </c>
      <c r="O1671" s="1144">
        <v>1132</v>
      </c>
      <c r="P1671" s="323"/>
      <c r="Q1671" s="323"/>
      <c r="R1671" s="326"/>
      <c r="S1671" s="326"/>
      <c r="T1671" s="327"/>
      <c r="U1671" s="326"/>
      <c r="V1671" s="328"/>
      <c r="W1671" s="323"/>
      <c r="X1671" s="323"/>
      <c r="Y1671" s="323"/>
    </row>
    <row r="1672" spans="1:25" s="1130" customFormat="1" ht="13.2" hidden="1">
      <c r="A1672" s="1320"/>
      <c r="B1672" s="1140" t="s">
        <v>17</v>
      </c>
      <c r="C1672" s="1141">
        <v>30</v>
      </c>
      <c r="D1672" s="1142">
        <v>55</v>
      </c>
      <c r="E1672" s="1142">
        <v>132</v>
      </c>
      <c r="F1672" s="1142">
        <v>190</v>
      </c>
      <c r="G1672" s="1142">
        <v>167</v>
      </c>
      <c r="H1672" s="1142">
        <v>207</v>
      </c>
      <c r="I1672" s="1142">
        <v>197</v>
      </c>
      <c r="J1672" s="1142">
        <v>192</v>
      </c>
      <c r="K1672" s="1142">
        <v>126</v>
      </c>
      <c r="L1672" s="1142">
        <v>104</v>
      </c>
      <c r="M1672" s="1142">
        <v>41</v>
      </c>
      <c r="N1672" s="1143">
        <v>14</v>
      </c>
      <c r="O1672" s="1144">
        <v>1065</v>
      </c>
      <c r="P1672" s="323"/>
      <c r="Q1672" s="323"/>
      <c r="R1672" s="326"/>
      <c r="S1672" s="326"/>
      <c r="T1672" s="327"/>
      <c r="U1672" s="326"/>
      <c r="V1672" s="328"/>
      <c r="W1672" s="323"/>
      <c r="X1672" s="323"/>
      <c r="Y1672" s="323"/>
    </row>
    <row r="1673" spans="1:25" s="1130" customFormat="1" ht="13.2" hidden="1">
      <c r="A1673" s="1321"/>
      <c r="B1673" s="1137" t="s">
        <v>18</v>
      </c>
      <c r="C1673" s="1134">
        <v>27</v>
      </c>
      <c r="D1673" s="1135">
        <v>48</v>
      </c>
      <c r="E1673" s="1135">
        <v>107</v>
      </c>
      <c r="F1673" s="1135">
        <v>147</v>
      </c>
      <c r="G1673" s="1135">
        <v>121</v>
      </c>
      <c r="H1673" s="1135">
        <v>145</v>
      </c>
      <c r="I1673" s="1135">
        <v>142</v>
      </c>
      <c r="J1673" s="1135">
        <v>144</v>
      </c>
      <c r="K1673" s="1135">
        <v>100</v>
      </c>
      <c r="L1673" s="1135">
        <v>87</v>
      </c>
      <c r="M1673" s="1135">
        <v>35</v>
      </c>
      <c r="N1673" s="1136">
        <v>12</v>
      </c>
      <c r="O1673" s="1145">
        <v>816</v>
      </c>
      <c r="P1673" s="323"/>
      <c r="Q1673" s="323"/>
      <c r="R1673" s="326"/>
      <c r="S1673" s="326"/>
      <c r="T1673" s="327"/>
      <c r="U1673" s="326"/>
      <c r="V1673" s="328"/>
      <c r="W1673" s="323"/>
      <c r="X1673" s="323"/>
      <c r="Y1673" s="323"/>
    </row>
    <row r="1674" spans="1:25" s="1130" customFormat="1" ht="13.2" hidden="1">
      <c r="A1674" s="1319" t="s">
        <v>3360</v>
      </c>
      <c r="B1674" s="1140" t="s">
        <v>15</v>
      </c>
      <c r="C1674" s="1141">
        <v>24</v>
      </c>
      <c r="D1674" s="1142">
        <v>48</v>
      </c>
      <c r="E1674" s="1142">
        <v>134</v>
      </c>
      <c r="F1674" s="1142">
        <v>196</v>
      </c>
      <c r="G1674" s="1142">
        <v>189</v>
      </c>
      <c r="H1674" s="1142">
        <v>243</v>
      </c>
      <c r="I1674" s="1142">
        <v>215</v>
      </c>
      <c r="J1674" s="1142">
        <v>201</v>
      </c>
      <c r="K1674" s="1142">
        <v>121</v>
      </c>
      <c r="L1674" s="1142">
        <v>100</v>
      </c>
      <c r="M1674" s="1142">
        <v>39</v>
      </c>
      <c r="N1674" s="1143">
        <v>13</v>
      </c>
      <c r="O1674" s="1144">
        <v>1115</v>
      </c>
      <c r="P1674" s="323"/>
      <c r="Q1674" s="323"/>
      <c r="R1674" s="326"/>
      <c r="S1674" s="326"/>
      <c r="T1674" s="327"/>
      <c r="U1674" s="326"/>
      <c r="V1674" s="328"/>
      <c r="W1674" s="323"/>
      <c r="X1674" s="323"/>
      <c r="Y1674" s="323"/>
    </row>
    <row r="1675" spans="1:25" s="1130" customFormat="1" ht="13.2" hidden="1">
      <c r="A1675" s="1320"/>
      <c r="B1675" s="1140" t="s">
        <v>16</v>
      </c>
      <c r="C1675" s="1141">
        <v>25</v>
      </c>
      <c r="D1675" s="1142">
        <v>49</v>
      </c>
      <c r="E1675" s="1142">
        <v>137</v>
      </c>
      <c r="F1675" s="1142">
        <v>192</v>
      </c>
      <c r="G1675" s="1142">
        <v>179</v>
      </c>
      <c r="H1675" s="1142">
        <v>227</v>
      </c>
      <c r="I1675" s="1142">
        <v>201</v>
      </c>
      <c r="J1675" s="1142">
        <v>194</v>
      </c>
      <c r="K1675" s="1142">
        <v>117</v>
      </c>
      <c r="L1675" s="1142">
        <v>104</v>
      </c>
      <c r="M1675" s="1142">
        <v>41</v>
      </c>
      <c r="N1675" s="1143">
        <v>13</v>
      </c>
      <c r="O1675" s="1144">
        <v>1083</v>
      </c>
      <c r="P1675" s="323"/>
      <c r="Q1675" s="323"/>
      <c r="R1675" s="326"/>
      <c r="S1675" s="326"/>
      <c r="T1675" s="327"/>
      <c r="U1675" s="326"/>
      <c r="V1675" s="328"/>
      <c r="W1675" s="323"/>
      <c r="X1675" s="323"/>
      <c r="Y1675" s="323"/>
    </row>
    <row r="1676" spans="1:25" s="1130" customFormat="1" ht="13.2" hidden="1">
      <c r="A1676" s="1320"/>
      <c r="B1676" s="1140" t="s">
        <v>17</v>
      </c>
      <c r="C1676" s="1141">
        <v>25</v>
      </c>
      <c r="D1676" s="1142">
        <v>48</v>
      </c>
      <c r="E1676" s="1142">
        <v>134</v>
      </c>
      <c r="F1676" s="1142">
        <v>180</v>
      </c>
      <c r="G1676" s="1142">
        <v>162</v>
      </c>
      <c r="H1676" s="1142">
        <v>204</v>
      </c>
      <c r="I1676" s="1142">
        <v>181</v>
      </c>
      <c r="J1676" s="1142">
        <v>179</v>
      </c>
      <c r="K1676" s="1142">
        <v>109</v>
      </c>
      <c r="L1676" s="1142">
        <v>103</v>
      </c>
      <c r="M1676" s="1142">
        <v>41</v>
      </c>
      <c r="N1676" s="1143">
        <v>13</v>
      </c>
      <c r="O1676" s="1144">
        <v>1009</v>
      </c>
      <c r="P1676" s="323"/>
      <c r="Q1676" s="323"/>
      <c r="R1676" s="326"/>
      <c r="S1676" s="326"/>
      <c r="T1676" s="327"/>
      <c r="U1676" s="326"/>
      <c r="V1676" s="328"/>
      <c r="W1676" s="323"/>
      <c r="X1676" s="323"/>
      <c r="Y1676" s="323"/>
    </row>
    <row r="1677" spans="1:25" s="1130" customFormat="1" ht="13.2" hidden="1">
      <c r="A1677" s="1321"/>
      <c r="B1677" s="1137" t="s">
        <v>18</v>
      </c>
      <c r="C1677" s="1134">
        <v>22</v>
      </c>
      <c r="D1677" s="1135">
        <v>40</v>
      </c>
      <c r="E1677" s="1135">
        <v>109</v>
      </c>
      <c r="F1677" s="1135">
        <v>137</v>
      </c>
      <c r="G1677" s="1135">
        <v>117</v>
      </c>
      <c r="H1677" s="1135">
        <v>141</v>
      </c>
      <c r="I1677" s="1135">
        <v>127</v>
      </c>
      <c r="J1677" s="1135">
        <v>133</v>
      </c>
      <c r="K1677" s="1135">
        <v>83</v>
      </c>
      <c r="L1677" s="1135">
        <v>87</v>
      </c>
      <c r="M1677" s="1135">
        <v>35</v>
      </c>
      <c r="N1677" s="1136">
        <v>11</v>
      </c>
      <c r="O1677" s="1145">
        <v>763</v>
      </c>
      <c r="P1677" s="323"/>
      <c r="Q1677" s="323"/>
      <c r="R1677" s="326"/>
      <c r="S1677" s="326"/>
      <c r="T1677" s="327"/>
      <c r="U1677" s="326"/>
      <c r="V1677" s="328"/>
      <c r="W1677" s="323"/>
      <c r="X1677" s="323"/>
      <c r="Y1677" s="323"/>
    </row>
    <row r="1678" spans="1:25" s="1130" customFormat="1" ht="13.2" hidden="1">
      <c r="A1678" s="1319" t="s">
        <v>980</v>
      </c>
      <c r="B1678" s="1140" t="s">
        <v>15</v>
      </c>
      <c r="C1678" s="1141">
        <v>20</v>
      </c>
      <c r="D1678" s="1142">
        <v>40</v>
      </c>
      <c r="E1678" s="1142">
        <v>104</v>
      </c>
      <c r="F1678" s="1142">
        <v>174</v>
      </c>
      <c r="G1678" s="1142">
        <v>180</v>
      </c>
      <c r="H1678" s="1142">
        <v>230</v>
      </c>
      <c r="I1678" s="1142">
        <v>214</v>
      </c>
      <c r="J1678" s="1142">
        <v>185</v>
      </c>
      <c r="K1678" s="1142">
        <v>116</v>
      </c>
      <c r="L1678" s="1142">
        <v>74</v>
      </c>
      <c r="M1678" s="1142">
        <v>29</v>
      </c>
      <c r="N1678" s="1143">
        <v>11</v>
      </c>
      <c r="O1678" s="1144">
        <v>1007</v>
      </c>
      <c r="P1678" s="323"/>
      <c r="Q1678" s="323"/>
      <c r="R1678" s="326"/>
      <c r="S1678" s="326"/>
      <c r="T1678" s="327"/>
      <c r="U1678" s="326"/>
      <c r="V1678" s="328"/>
      <c r="W1678" s="323"/>
      <c r="X1678" s="323"/>
      <c r="Y1678" s="323"/>
    </row>
    <row r="1679" spans="1:25" s="1130" customFormat="1" ht="13.2" hidden="1">
      <c r="A1679" s="1320"/>
      <c r="B1679" s="1140" t="s">
        <v>16</v>
      </c>
      <c r="C1679" s="1141">
        <v>19</v>
      </c>
      <c r="D1679" s="1142">
        <v>38</v>
      </c>
      <c r="E1679" s="1142">
        <v>98</v>
      </c>
      <c r="F1679" s="1142">
        <v>165</v>
      </c>
      <c r="G1679" s="1142">
        <v>167</v>
      </c>
      <c r="H1679" s="1142">
        <v>212</v>
      </c>
      <c r="I1679" s="1142">
        <v>201</v>
      </c>
      <c r="J1679" s="1142">
        <v>175</v>
      </c>
      <c r="K1679" s="1142">
        <v>111</v>
      </c>
      <c r="L1679" s="1142">
        <v>70</v>
      </c>
      <c r="M1679" s="1142">
        <v>27</v>
      </c>
      <c r="N1679" s="1143">
        <v>11</v>
      </c>
      <c r="O1679" s="1144">
        <v>948</v>
      </c>
      <c r="P1679" s="323"/>
      <c r="Q1679" s="323"/>
      <c r="R1679" s="326"/>
      <c r="S1679" s="326"/>
      <c r="T1679" s="327"/>
      <c r="U1679" s="326"/>
      <c r="V1679" s="328"/>
      <c r="W1679" s="323"/>
      <c r="X1679" s="323"/>
      <c r="Y1679" s="323"/>
    </row>
    <row r="1680" spans="1:25" s="1130" customFormat="1" ht="13.2" hidden="1">
      <c r="A1680" s="1320"/>
      <c r="B1680" s="1140" t="s">
        <v>17</v>
      </c>
      <c r="C1680" s="1141">
        <v>19</v>
      </c>
      <c r="D1680" s="1142">
        <v>36</v>
      </c>
      <c r="E1680" s="1142">
        <v>91</v>
      </c>
      <c r="F1680" s="1142">
        <v>152</v>
      </c>
      <c r="G1680" s="1142">
        <v>152</v>
      </c>
      <c r="H1680" s="1142">
        <v>191</v>
      </c>
      <c r="I1680" s="1142">
        <v>184</v>
      </c>
      <c r="J1680" s="1142">
        <v>162</v>
      </c>
      <c r="K1680" s="1142">
        <v>103</v>
      </c>
      <c r="L1680" s="1142">
        <v>65</v>
      </c>
      <c r="M1680" s="1142">
        <v>25</v>
      </c>
      <c r="N1680" s="1143">
        <v>10</v>
      </c>
      <c r="O1680" s="1144">
        <v>871</v>
      </c>
      <c r="P1680" s="323"/>
      <c r="Q1680" s="323"/>
      <c r="R1680" s="326"/>
      <c r="S1680" s="326"/>
      <c r="T1680" s="327"/>
      <c r="U1680" s="326"/>
      <c r="V1680" s="328"/>
      <c r="W1680" s="323"/>
      <c r="X1680" s="323"/>
      <c r="Y1680" s="323"/>
    </row>
    <row r="1681" spans="1:25" s="1130" customFormat="1" ht="13.2" hidden="1">
      <c r="A1681" s="1321"/>
      <c r="B1681" s="1137" t="s">
        <v>18</v>
      </c>
      <c r="C1681" s="1134">
        <v>15</v>
      </c>
      <c r="D1681" s="1135">
        <v>28</v>
      </c>
      <c r="E1681" s="1135">
        <v>74</v>
      </c>
      <c r="F1681" s="1135">
        <v>118</v>
      </c>
      <c r="G1681" s="1135">
        <v>115</v>
      </c>
      <c r="H1681" s="1135">
        <v>141</v>
      </c>
      <c r="I1681" s="1135">
        <v>140</v>
      </c>
      <c r="J1681" s="1135">
        <v>125</v>
      </c>
      <c r="K1681" s="1135">
        <v>81</v>
      </c>
      <c r="L1681" s="1135">
        <v>52</v>
      </c>
      <c r="M1681" s="1135">
        <v>19</v>
      </c>
      <c r="N1681" s="1136">
        <v>7</v>
      </c>
      <c r="O1681" s="1145">
        <v>671</v>
      </c>
      <c r="P1681" s="323"/>
      <c r="Q1681" s="323"/>
      <c r="R1681" s="326"/>
      <c r="S1681" s="326"/>
      <c r="T1681" s="327"/>
      <c r="U1681" s="326"/>
      <c r="V1681" s="328"/>
      <c r="W1681" s="323"/>
      <c r="X1681" s="323"/>
      <c r="Y1681" s="323"/>
    </row>
    <row r="1682" spans="1:25" s="1130" customFormat="1" ht="13.2" hidden="1">
      <c r="A1682" s="1319" t="s">
        <v>981</v>
      </c>
      <c r="B1682" s="1140" t="s">
        <v>15</v>
      </c>
      <c r="C1682" s="1141">
        <v>17</v>
      </c>
      <c r="D1682" s="1142">
        <v>36</v>
      </c>
      <c r="E1682" s="1142">
        <v>105</v>
      </c>
      <c r="F1682" s="1142">
        <v>165</v>
      </c>
      <c r="G1682" s="1142">
        <v>174</v>
      </c>
      <c r="H1682" s="1142">
        <v>225</v>
      </c>
      <c r="I1682" s="1142">
        <v>195</v>
      </c>
      <c r="J1682" s="1142">
        <v>173</v>
      </c>
      <c r="K1682" s="1142">
        <v>103</v>
      </c>
      <c r="L1682" s="1142">
        <v>74</v>
      </c>
      <c r="M1682" s="1142">
        <v>28</v>
      </c>
      <c r="N1682" s="1143">
        <v>10</v>
      </c>
      <c r="O1682" s="1144">
        <v>956</v>
      </c>
      <c r="P1682" s="323"/>
      <c r="Q1682" s="323"/>
      <c r="R1682" s="326"/>
      <c r="S1682" s="326"/>
      <c r="T1682" s="327"/>
      <c r="U1682" s="326"/>
      <c r="V1682" s="328"/>
      <c r="W1682" s="323"/>
      <c r="X1682" s="323"/>
      <c r="Y1682" s="323"/>
    </row>
    <row r="1683" spans="1:25" s="1130" customFormat="1" ht="13.2" hidden="1">
      <c r="A1683" s="1320"/>
      <c r="B1683" s="1140" t="s">
        <v>16</v>
      </c>
      <c r="C1683" s="1141">
        <v>16</v>
      </c>
      <c r="D1683" s="1142">
        <v>33</v>
      </c>
      <c r="E1683" s="1142">
        <v>101</v>
      </c>
      <c r="F1683" s="1142">
        <v>153</v>
      </c>
      <c r="G1683" s="1142">
        <v>161</v>
      </c>
      <c r="H1683" s="1142">
        <v>206</v>
      </c>
      <c r="I1683" s="1142">
        <v>177</v>
      </c>
      <c r="J1683" s="1142">
        <v>160</v>
      </c>
      <c r="K1683" s="1142">
        <v>94</v>
      </c>
      <c r="L1683" s="1142">
        <v>70</v>
      </c>
      <c r="M1683" s="1142">
        <v>27</v>
      </c>
      <c r="N1683" s="1143">
        <v>10</v>
      </c>
      <c r="O1683" s="1144">
        <v>884</v>
      </c>
      <c r="P1683" s="323"/>
      <c r="Q1683" s="323"/>
      <c r="R1683" s="326"/>
      <c r="S1683" s="326"/>
      <c r="T1683" s="327"/>
      <c r="U1683" s="326"/>
      <c r="V1683" s="328"/>
      <c r="W1683" s="323"/>
      <c r="X1683" s="323"/>
      <c r="Y1683" s="323"/>
    </row>
    <row r="1684" spans="1:25" s="1130" customFormat="1" ht="13.2" hidden="1">
      <c r="A1684" s="1320"/>
      <c r="B1684" s="1140" t="s">
        <v>17</v>
      </c>
      <c r="C1684" s="1141">
        <v>14</v>
      </c>
      <c r="D1684" s="1142">
        <v>30</v>
      </c>
      <c r="E1684" s="1142">
        <v>94</v>
      </c>
      <c r="F1684" s="1142">
        <v>140</v>
      </c>
      <c r="G1684" s="1142">
        <v>144</v>
      </c>
      <c r="H1684" s="1142">
        <v>184</v>
      </c>
      <c r="I1684" s="1142">
        <v>158</v>
      </c>
      <c r="J1684" s="1142">
        <v>145</v>
      </c>
      <c r="K1684" s="1142">
        <v>85</v>
      </c>
      <c r="L1684" s="1142">
        <v>66</v>
      </c>
      <c r="M1684" s="1142">
        <v>25</v>
      </c>
      <c r="N1684" s="1143">
        <v>9</v>
      </c>
      <c r="O1684" s="1144">
        <v>800</v>
      </c>
      <c r="P1684" s="323"/>
      <c r="Q1684" s="323"/>
      <c r="R1684" s="326"/>
      <c r="S1684" s="326"/>
      <c r="T1684" s="327"/>
      <c r="U1684" s="326"/>
      <c r="V1684" s="328"/>
      <c r="W1684" s="323"/>
      <c r="X1684" s="323"/>
      <c r="Y1684" s="323"/>
    </row>
    <row r="1685" spans="1:25" s="1130" customFormat="1" ht="13.2" hidden="1">
      <c r="A1685" s="1321"/>
      <c r="B1685" s="1137" t="s">
        <v>18</v>
      </c>
      <c r="C1685" s="1134">
        <v>11</v>
      </c>
      <c r="D1685" s="1135">
        <v>22</v>
      </c>
      <c r="E1685" s="1135">
        <v>73</v>
      </c>
      <c r="F1685" s="1135">
        <v>108</v>
      </c>
      <c r="G1685" s="1135">
        <v>107</v>
      </c>
      <c r="H1685" s="1135">
        <v>134</v>
      </c>
      <c r="I1685" s="1135">
        <v>116</v>
      </c>
      <c r="J1685" s="1135">
        <v>109</v>
      </c>
      <c r="K1685" s="1135">
        <v>64</v>
      </c>
      <c r="L1685" s="1135">
        <v>51</v>
      </c>
      <c r="M1685" s="1135">
        <v>19</v>
      </c>
      <c r="N1685" s="1136">
        <v>6</v>
      </c>
      <c r="O1685" s="1145">
        <v>602</v>
      </c>
      <c r="P1685" s="323"/>
      <c r="Q1685" s="323"/>
      <c r="R1685" s="326"/>
      <c r="S1685" s="326"/>
      <c r="T1685" s="327"/>
      <c r="U1685" s="326"/>
      <c r="V1685" s="328"/>
      <c r="W1685" s="323"/>
      <c r="X1685" s="323"/>
      <c r="Y1685" s="323"/>
    </row>
    <row r="1686" spans="1:25" s="1130" customFormat="1" ht="13.2" hidden="1">
      <c r="A1686" s="1319" t="s">
        <v>3361</v>
      </c>
      <c r="B1686" s="1140" t="s">
        <v>15</v>
      </c>
      <c r="C1686" s="1141">
        <v>13</v>
      </c>
      <c r="D1686" s="1142">
        <v>26</v>
      </c>
      <c r="E1686" s="1142">
        <v>74</v>
      </c>
      <c r="F1686" s="1142">
        <v>130</v>
      </c>
      <c r="G1686" s="1142">
        <v>155</v>
      </c>
      <c r="H1686" s="1142">
        <v>202</v>
      </c>
      <c r="I1686" s="1142">
        <v>173</v>
      </c>
      <c r="J1686" s="1142">
        <v>142</v>
      </c>
      <c r="K1686" s="1142">
        <v>86</v>
      </c>
      <c r="L1686" s="1142">
        <v>48</v>
      </c>
      <c r="M1686" s="1142">
        <v>20</v>
      </c>
      <c r="N1686" s="1143">
        <v>9</v>
      </c>
      <c r="O1686" s="1144">
        <v>791</v>
      </c>
      <c r="P1686" s="323"/>
      <c r="Q1686" s="323"/>
      <c r="R1686" s="326"/>
      <c r="S1686" s="326"/>
      <c r="T1686" s="327"/>
      <c r="U1686" s="326"/>
      <c r="V1686" s="328"/>
      <c r="W1686" s="323"/>
      <c r="X1686" s="323"/>
      <c r="Y1686" s="323"/>
    </row>
    <row r="1687" spans="1:25" s="1130" customFormat="1" ht="13.2" hidden="1">
      <c r="A1687" s="1320"/>
      <c r="B1687" s="1140" t="s">
        <v>16</v>
      </c>
      <c r="C1687" s="1141">
        <v>12</v>
      </c>
      <c r="D1687" s="1142">
        <v>23</v>
      </c>
      <c r="E1687" s="1142">
        <v>61</v>
      </c>
      <c r="F1687" s="1142">
        <v>109</v>
      </c>
      <c r="G1687" s="1142">
        <v>134</v>
      </c>
      <c r="H1687" s="1142">
        <v>170</v>
      </c>
      <c r="I1687" s="1142">
        <v>144</v>
      </c>
      <c r="J1687" s="1142">
        <v>117</v>
      </c>
      <c r="K1687" s="1142">
        <v>74</v>
      </c>
      <c r="L1687" s="1142">
        <v>40</v>
      </c>
      <c r="M1687" s="1142">
        <v>18</v>
      </c>
      <c r="N1687" s="1143">
        <v>8</v>
      </c>
      <c r="O1687" s="1144">
        <v>667</v>
      </c>
      <c r="P1687" s="323"/>
      <c r="Q1687" s="323"/>
      <c r="R1687" s="326"/>
      <c r="S1687" s="326"/>
      <c r="T1687" s="327"/>
      <c r="U1687" s="326"/>
      <c r="V1687" s="328"/>
      <c r="W1687" s="323"/>
      <c r="X1687" s="323"/>
      <c r="Y1687" s="323"/>
    </row>
    <row r="1688" spans="1:25" s="1130" customFormat="1" ht="13.2" hidden="1">
      <c r="A1688" s="1320"/>
      <c r="B1688" s="1140" t="s">
        <v>17</v>
      </c>
      <c r="C1688" s="1141">
        <v>10</v>
      </c>
      <c r="D1688" s="1142">
        <v>21</v>
      </c>
      <c r="E1688" s="1142">
        <v>52</v>
      </c>
      <c r="F1688" s="1142">
        <v>94</v>
      </c>
      <c r="G1688" s="1142">
        <v>115</v>
      </c>
      <c r="H1688" s="1142">
        <v>143</v>
      </c>
      <c r="I1688" s="1142">
        <v>122</v>
      </c>
      <c r="J1688" s="1142">
        <v>100</v>
      </c>
      <c r="K1688" s="1142">
        <v>64</v>
      </c>
      <c r="L1688" s="1142">
        <v>35</v>
      </c>
      <c r="M1688" s="1142">
        <v>16</v>
      </c>
      <c r="N1688" s="1143">
        <v>7</v>
      </c>
      <c r="O1688" s="1144">
        <v>571</v>
      </c>
      <c r="P1688" s="323"/>
      <c r="Q1688" s="323"/>
      <c r="R1688" s="326"/>
      <c r="S1688" s="326"/>
      <c r="T1688" s="327"/>
      <c r="U1688" s="326"/>
      <c r="V1688" s="328"/>
      <c r="W1688" s="323"/>
      <c r="X1688" s="323"/>
      <c r="Y1688" s="323"/>
    </row>
    <row r="1689" spans="1:25" s="1130" customFormat="1" ht="13.2" hidden="1">
      <c r="A1689" s="1321"/>
      <c r="B1689" s="1137" t="s">
        <v>18</v>
      </c>
      <c r="C1689" s="1134">
        <v>8</v>
      </c>
      <c r="D1689" s="1135">
        <v>16</v>
      </c>
      <c r="E1689" s="1135">
        <v>40</v>
      </c>
      <c r="F1689" s="1135">
        <v>72</v>
      </c>
      <c r="G1689" s="1135">
        <v>85</v>
      </c>
      <c r="H1689" s="1135">
        <v>104</v>
      </c>
      <c r="I1689" s="1135">
        <v>89</v>
      </c>
      <c r="J1689" s="1135">
        <v>74</v>
      </c>
      <c r="K1689" s="1135">
        <v>48</v>
      </c>
      <c r="L1689" s="1135">
        <v>28</v>
      </c>
      <c r="M1689" s="1135">
        <v>12</v>
      </c>
      <c r="N1689" s="1136">
        <v>5</v>
      </c>
      <c r="O1689" s="1145">
        <v>425</v>
      </c>
      <c r="P1689" s="323"/>
      <c r="Q1689" s="323"/>
      <c r="R1689" s="326"/>
      <c r="S1689" s="326"/>
      <c r="T1689" s="327"/>
      <c r="U1689" s="326"/>
      <c r="V1689" s="328"/>
      <c r="W1689" s="323"/>
      <c r="X1689" s="323"/>
      <c r="Y1689" s="323"/>
    </row>
    <row r="1690" spans="1:25" s="1130" customFormat="1" ht="13.2" hidden="1">
      <c r="A1690" s="1319" t="s">
        <v>3362</v>
      </c>
      <c r="B1690" s="1140" t="s">
        <v>15</v>
      </c>
      <c r="C1690" s="1141">
        <v>13</v>
      </c>
      <c r="D1690" s="1142">
        <v>28</v>
      </c>
      <c r="E1690" s="1142">
        <v>72</v>
      </c>
      <c r="F1690" s="1142">
        <v>137</v>
      </c>
      <c r="G1690" s="1142">
        <v>160</v>
      </c>
      <c r="H1690" s="1142">
        <v>207</v>
      </c>
      <c r="I1690" s="1142">
        <v>189</v>
      </c>
      <c r="J1690" s="1142">
        <v>151</v>
      </c>
      <c r="K1690" s="1142">
        <v>95</v>
      </c>
      <c r="L1690" s="1142">
        <v>48</v>
      </c>
      <c r="M1690" s="1142">
        <v>20</v>
      </c>
      <c r="N1690" s="1143">
        <v>9</v>
      </c>
      <c r="O1690" s="1144">
        <v>828</v>
      </c>
      <c r="P1690" s="323"/>
      <c r="Q1690" s="323"/>
      <c r="R1690" s="326"/>
      <c r="S1690" s="326"/>
      <c r="T1690" s="327"/>
      <c r="U1690" s="326"/>
      <c r="V1690" s="328"/>
      <c r="W1690" s="323"/>
      <c r="X1690" s="323"/>
      <c r="Y1690" s="323"/>
    </row>
    <row r="1691" spans="1:25" s="1130" customFormat="1" ht="13.2" hidden="1">
      <c r="A1691" s="1320"/>
      <c r="B1691" s="1140" t="s">
        <v>16</v>
      </c>
      <c r="C1691" s="1141">
        <v>12</v>
      </c>
      <c r="D1691" s="1142">
        <v>24</v>
      </c>
      <c r="E1691" s="1142">
        <v>61</v>
      </c>
      <c r="F1691" s="1142">
        <v>116</v>
      </c>
      <c r="G1691" s="1142">
        <v>140</v>
      </c>
      <c r="H1691" s="1142">
        <v>176</v>
      </c>
      <c r="I1691" s="1142">
        <v>165</v>
      </c>
      <c r="J1691" s="1142">
        <v>129</v>
      </c>
      <c r="K1691" s="1142">
        <v>83</v>
      </c>
      <c r="L1691" s="1142">
        <v>40</v>
      </c>
      <c r="M1691" s="1142">
        <v>18</v>
      </c>
      <c r="N1691" s="1143">
        <v>8</v>
      </c>
      <c r="O1691" s="1144">
        <v>713</v>
      </c>
      <c r="P1691" s="323"/>
      <c r="Q1691" s="323"/>
      <c r="R1691" s="326"/>
      <c r="S1691" s="326"/>
      <c r="T1691" s="327"/>
      <c r="U1691" s="326"/>
      <c r="V1691" s="328"/>
      <c r="W1691" s="323"/>
      <c r="X1691" s="323"/>
      <c r="Y1691" s="323"/>
    </row>
    <row r="1692" spans="1:25" s="1130" customFormat="1" ht="13.2" hidden="1">
      <c r="A1692" s="1320"/>
      <c r="B1692" s="1140" t="s">
        <v>17</v>
      </c>
      <c r="C1692" s="1141">
        <v>11</v>
      </c>
      <c r="D1692" s="1142">
        <v>22</v>
      </c>
      <c r="E1692" s="1142">
        <v>54</v>
      </c>
      <c r="F1692" s="1142">
        <v>101</v>
      </c>
      <c r="G1692" s="1142">
        <v>122</v>
      </c>
      <c r="H1692" s="1142">
        <v>150</v>
      </c>
      <c r="I1692" s="1142">
        <v>143</v>
      </c>
      <c r="J1692" s="1142">
        <v>112</v>
      </c>
      <c r="K1692" s="1142">
        <v>73</v>
      </c>
      <c r="L1692" s="1142">
        <v>36</v>
      </c>
      <c r="M1692" s="1142">
        <v>16</v>
      </c>
      <c r="N1692" s="1143">
        <v>7</v>
      </c>
      <c r="O1692" s="1144">
        <v>620</v>
      </c>
      <c r="P1692" s="323"/>
      <c r="Q1692" s="323"/>
      <c r="R1692" s="326"/>
      <c r="S1692" s="326"/>
      <c r="T1692" s="327"/>
      <c r="U1692" s="326"/>
      <c r="V1692" s="328"/>
      <c r="W1692" s="323"/>
      <c r="X1692" s="323"/>
      <c r="Y1692" s="323"/>
    </row>
    <row r="1693" spans="1:25" s="1130" customFormat="1" ht="13.2" hidden="1">
      <c r="A1693" s="1321"/>
      <c r="B1693" s="1137" t="s">
        <v>18</v>
      </c>
      <c r="C1693" s="1134">
        <v>8</v>
      </c>
      <c r="D1693" s="1135">
        <v>16</v>
      </c>
      <c r="E1693" s="1135">
        <v>43</v>
      </c>
      <c r="F1693" s="1135">
        <v>77</v>
      </c>
      <c r="G1693" s="1135">
        <v>91</v>
      </c>
      <c r="H1693" s="1135">
        <v>110</v>
      </c>
      <c r="I1693" s="1135">
        <v>107</v>
      </c>
      <c r="J1693" s="1135">
        <v>86</v>
      </c>
      <c r="K1693" s="1135">
        <v>55</v>
      </c>
      <c r="L1693" s="1135">
        <v>28</v>
      </c>
      <c r="M1693" s="1135">
        <v>12</v>
      </c>
      <c r="N1693" s="1136">
        <v>5</v>
      </c>
      <c r="O1693" s="1145">
        <v>468</v>
      </c>
      <c r="P1693" s="323"/>
      <c r="Q1693" s="323"/>
      <c r="R1693" s="326"/>
      <c r="S1693" s="326"/>
      <c r="T1693" s="327"/>
      <c r="U1693" s="326"/>
      <c r="V1693" s="328"/>
      <c r="W1693" s="323"/>
      <c r="X1693" s="323"/>
      <c r="Y1693" s="323"/>
    </row>
    <row r="1694" spans="1:25" s="1130" customFormat="1" ht="13.2" hidden="1">
      <c r="A1694" s="1319" t="s">
        <v>12</v>
      </c>
      <c r="B1694" s="1140" t="s">
        <v>15</v>
      </c>
      <c r="C1694" s="1141">
        <v>13</v>
      </c>
      <c r="D1694" s="1142">
        <v>24</v>
      </c>
      <c r="E1694" s="1142">
        <v>54</v>
      </c>
      <c r="F1694" s="1142">
        <v>116</v>
      </c>
      <c r="G1694" s="1142">
        <v>150</v>
      </c>
      <c r="H1694" s="1142">
        <v>197</v>
      </c>
      <c r="I1694" s="1142">
        <v>173</v>
      </c>
      <c r="J1694" s="1142">
        <v>132</v>
      </c>
      <c r="K1694" s="1142">
        <v>80</v>
      </c>
      <c r="L1694" s="1142">
        <v>36</v>
      </c>
      <c r="M1694" s="1142">
        <v>19</v>
      </c>
      <c r="N1694" s="1143">
        <v>9</v>
      </c>
      <c r="O1694" s="1144">
        <v>735</v>
      </c>
      <c r="P1694" s="323"/>
      <c r="Q1694" s="323"/>
      <c r="R1694" s="326"/>
      <c r="S1694" s="326"/>
      <c r="T1694" s="327"/>
      <c r="U1694" s="326"/>
      <c r="V1694" s="328"/>
      <c r="W1694" s="323"/>
      <c r="X1694" s="323"/>
      <c r="Y1694" s="323"/>
    </row>
    <row r="1695" spans="1:25" s="1130" customFormat="1" ht="13.2" hidden="1">
      <c r="A1695" s="1320"/>
      <c r="B1695" s="1140" t="s">
        <v>16</v>
      </c>
      <c r="C1695" s="1141">
        <v>12</v>
      </c>
      <c r="D1695" s="1142">
        <v>22</v>
      </c>
      <c r="E1695" s="1142">
        <v>41</v>
      </c>
      <c r="F1695" s="1142">
        <v>81</v>
      </c>
      <c r="G1695" s="1142">
        <v>122</v>
      </c>
      <c r="H1695" s="1142">
        <v>158</v>
      </c>
      <c r="I1695" s="1142">
        <v>138</v>
      </c>
      <c r="J1695" s="1142">
        <v>94</v>
      </c>
      <c r="K1695" s="1142">
        <v>64</v>
      </c>
      <c r="L1695" s="1142">
        <v>32</v>
      </c>
      <c r="M1695" s="1142">
        <v>17</v>
      </c>
      <c r="N1695" s="1143">
        <v>8</v>
      </c>
      <c r="O1695" s="1144">
        <v>578</v>
      </c>
      <c r="P1695" s="323"/>
      <c r="Q1695" s="323"/>
      <c r="R1695" s="326"/>
      <c r="S1695" s="326"/>
      <c r="T1695" s="327"/>
      <c r="U1695" s="326"/>
      <c r="V1695" s="328"/>
      <c r="W1695" s="323"/>
      <c r="X1695" s="323"/>
      <c r="Y1695" s="323"/>
    </row>
    <row r="1696" spans="1:25" s="1130" customFormat="1" ht="13.2" hidden="1">
      <c r="A1696" s="1320"/>
      <c r="B1696" s="1140" t="s">
        <v>17</v>
      </c>
      <c r="C1696" s="1141">
        <v>10</v>
      </c>
      <c r="D1696" s="1142">
        <v>20</v>
      </c>
      <c r="E1696" s="1142">
        <v>38</v>
      </c>
      <c r="F1696" s="1142">
        <v>67</v>
      </c>
      <c r="G1696" s="1142">
        <v>96</v>
      </c>
      <c r="H1696" s="1142">
        <v>115</v>
      </c>
      <c r="I1696" s="1142">
        <v>101</v>
      </c>
      <c r="J1696" s="1142">
        <v>72</v>
      </c>
      <c r="K1696" s="1142">
        <v>56</v>
      </c>
      <c r="L1696" s="1142">
        <v>29</v>
      </c>
      <c r="M1696" s="1142">
        <v>15</v>
      </c>
      <c r="N1696" s="1143">
        <v>7</v>
      </c>
      <c r="O1696" s="1144">
        <v>460</v>
      </c>
      <c r="P1696" s="323"/>
      <c r="Q1696" s="323"/>
      <c r="R1696" s="326"/>
      <c r="S1696" s="326"/>
      <c r="T1696" s="327"/>
      <c r="U1696" s="326"/>
      <c r="V1696" s="328"/>
      <c r="W1696" s="323"/>
      <c r="X1696" s="323"/>
      <c r="Y1696" s="323"/>
    </row>
    <row r="1697" spans="1:25" s="1130" customFormat="1" ht="13.2" hidden="1">
      <c r="A1697" s="1321"/>
      <c r="B1697" s="1137" t="s">
        <v>18</v>
      </c>
      <c r="C1697" s="1134">
        <v>8</v>
      </c>
      <c r="D1697" s="1135">
        <v>15</v>
      </c>
      <c r="E1697" s="1135">
        <v>32</v>
      </c>
      <c r="F1697" s="1135">
        <v>55</v>
      </c>
      <c r="G1697" s="1135">
        <v>71</v>
      </c>
      <c r="H1697" s="1135">
        <v>83</v>
      </c>
      <c r="I1697" s="1135">
        <v>74</v>
      </c>
      <c r="J1697" s="1135">
        <v>58</v>
      </c>
      <c r="K1697" s="1135">
        <v>44</v>
      </c>
      <c r="L1697" s="1135">
        <v>24</v>
      </c>
      <c r="M1697" s="1135">
        <v>12</v>
      </c>
      <c r="N1697" s="1136">
        <v>5</v>
      </c>
      <c r="O1697" s="1145">
        <v>353</v>
      </c>
      <c r="P1697" s="323"/>
      <c r="Q1697" s="323"/>
      <c r="R1697" s="326"/>
      <c r="S1697" s="326"/>
      <c r="T1697" s="327"/>
      <c r="U1697" s="326"/>
      <c r="V1697" s="328"/>
      <c r="W1697" s="323"/>
      <c r="X1697" s="323"/>
      <c r="Y1697" s="323"/>
    </row>
    <row r="1698" spans="1:25" s="1130" customFormat="1" ht="39.6" hidden="1">
      <c r="A1698" s="1146"/>
      <c r="B1698" s="1147"/>
      <c r="C1698" s="1375" t="s">
        <v>3363</v>
      </c>
      <c r="D1698" s="1376"/>
      <c r="E1698" s="1376"/>
      <c r="F1698" s="1376"/>
      <c r="G1698" s="1376"/>
      <c r="H1698" s="1376"/>
      <c r="I1698" s="1376"/>
      <c r="J1698" s="1376"/>
      <c r="K1698" s="1376"/>
      <c r="L1698" s="1376"/>
      <c r="M1698" s="1376"/>
      <c r="N1698" s="1377"/>
      <c r="O1698" s="1131" t="s">
        <v>3364</v>
      </c>
      <c r="P1698" s="323"/>
      <c r="Q1698" s="323"/>
      <c r="R1698" s="326"/>
      <c r="S1698" s="326"/>
      <c r="T1698" s="327"/>
      <c r="U1698" s="326"/>
      <c r="V1698" s="328"/>
      <c r="W1698" s="323"/>
      <c r="X1698" s="323"/>
      <c r="Y1698" s="323"/>
    </row>
    <row r="1699" spans="1:25" s="1130" customFormat="1" ht="12.75" hidden="1" customHeight="1">
      <c r="A1699" s="1148" t="s">
        <v>1894</v>
      </c>
      <c r="B1699" s="1149"/>
      <c r="C1699" s="1150">
        <v>2.2999999999999998</v>
      </c>
      <c r="D1699" s="1151">
        <v>2.4</v>
      </c>
      <c r="E1699" s="1151">
        <v>4.3</v>
      </c>
      <c r="F1699" s="1151">
        <v>8</v>
      </c>
      <c r="G1699" s="1151">
        <v>12.4</v>
      </c>
      <c r="H1699" s="1151">
        <v>15.6</v>
      </c>
      <c r="I1699" s="1151">
        <v>18</v>
      </c>
      <c r="J1699" s="1151">
        <v>18</v>
      </c>
      <c r="K1699" s="1151">
        <v>14.7</v>
      </c>
      <c r="L1699" s="1151">
        <v>10.199999999999999</v>
      </c>
      <c r="M1699" s="1151">
        <v>5.5</v>
      </c>
      <c r="N1699" s="1152">
        <v>2.6</v>
      </c>
      <c r="O1699" s="1153">
        <v>9.5</v>
      </c>
      <c r="P1699" s="323"/>
      <c r="Q1699" s="323"/>
      <c r="R1699" s="326"/>
      <c r="S1699" s="326"/>
      <c r="T1699" s="327"/>
      <c r="U1699" s="326"/>
      <c r="V1699" s="328"/>
      <c r="W1699" s="323"/>
      <c r="X1699" s="323"/>
      <c r="Y1699" s="323"/>
    </row>
    <row r="1700" spans="1:25" s="1130" customFormat="1" ht="13.2" hidden="1">
      <c r="A1700" s="1154"/>
      <c r="B1700" s="1154"/>
      <c r="C1700" s="1155"/>
      <c r="D1700" s="1155"/>
      <c r="E1700" s="1155"/>
      <c r="F1700" s="1155"/>
      <c r="G1700" s="1155"/>
      <c r="H1700" s="1155"/>
      <c r="I1700" s="1155"/>
      <c r="J1700" s="1155"/>
      <c r="K1700" s="1155"/>
      <c r="L1700" s="1155"/>
      <c r="M1700" s="1155"/>
      <c r="N1700" s="1155"/>
      <c r="O1700" s="1155"/>
      <c r="P1700" s="1155"/>
      <c r="Q1700" s="1129"/>
    </row>
    <row r="1701" spans="1:25" s="1130" customFormat="1" ht="13.2" hidden="1">
      <c r="A1701" s="1154"/>
      <c r="B1701" s="1154"/>
      <c r="C1701" s="1155"/>
      <c r="D1701" s="1155"/>
      <c r="E1701" s="1155"/>
      <c r="F1701" s="1155"/>
      <c r="G1701" s="1155"/>
      <c r="H1701" s="1155"/>
      <c r="I1701" s="1155"/>
      <c r="J1701" s="1155"/>
      <c r="K1701" s="1155"/>
      <c r="L1701" s="1155"/>
      <c r="M1701" s="1155"/>
      <c r="N1701" s="1155"/>
      <c r="O1701" s="1155"/>
      <c r="P1701" s="1155"/>
      <c r="Q1701" s="1129"/>
    </row>
    <row r="1702" spans="1:25" s="1130" customFormat="1" ht="13.2" hidden="1">
      <c r="A1702" s="1129" t="s">
        <v>3367</v>
      </c>
      <c r="Q1702" s="1129"/>
    </row>
    <row r="1703" spans="1:25" s="1130" customFormat="1" ht="13.2" hidden="1">
      <c r="Q1703" s="1129"/>
    </row>
    <row r="1704" spans="1:25" s="1130" customFormat="1" ht="66" hidden="1">
      <c r="A1704" s="1314" t="s">
        <v>3368</v>
      </c>
      <c r="B1704" s="1315"/>
      <c r="C1704" s="1316" t="s">
        <v>3355</v>
      </c>
      <c r="D1704" s="1317"/>
      <c r="E1704" s="1317"/>
      <c r="F1704" s="1317"/>
      <c r="G1704" s="1317"/>
      <c r="H1704" s="1317"/>
      <c r="I1704" s="1317"/>
      <c r="J1704" s="1317"/>
      <c r="K1704" s="1317"/>
      <c r="L1704" s="1317"/>
      <c r="M1704" s="1317"/>
      <c r="N1704" s="1318"/>
      <c r="O1704" s="1131" t="s">
        <v>3356</v>
      </c>
      <c r="P1704" s="323"/>
      <c r="Q1704" s="1156">
        <v>3</v>
      </c>
      <c r="R1704" s="326"/>
      <c r="S1704" s="326"/>
      <c r="T1704" s="327"/>
      <c r="U1704" s="326"/>
      <c r="V1704" s="328"/>
      <c r="W1704" s="323"/>
      <c r="X1704" s="323"/>
      <c r="Y1704" s="323"/>
    </row>
    <row r="1705" spans="1:25" s="1130" customFormat="1" ht="13.2" hidden="1">
      <c r="A1705" s="1132" t="s">
        <v>77</v>
      </c>
      <c r="B1705" s="1133" t="s">
        <v>1795</v>
      </c>
      <c r="C1705" s="1134" t="s">
        <v>116</v>
      </c>
      <c r="D1705" s="1135" t="s">
        <v>117</v>
      </c>
      <c r="E1705" s="1135" t="s">
        <v>118</v>
      </c>
      <c r="F1705" s="1135" t="s">
        <v>119</v>
      </c>
      <c r="G1705" s="1135" t="s">
        <v>120</v>
      </c>
      <c r="H1705" s="1135" t="s">
        <v>121</v>
      </c>
      <c r="I1705" s="1135" t="s">
        <v>122</v>
      </c>
      <c r="J1705" s="1135" t="s">
        <v>123</v>
      </c>
      <c r="K1705" s="1135" t="s">
        <v>124</v>
      </c>
      <c r="L1705" s="1135" t="s">
        <v>125</v>
      </c>
      <c r="M1705" s="1135" t="s">
        <v>126</v>
      </c>
      <c r="N1705" s="1136" t="s">
        <v>127</v>
      </c>
      <c r="O1705" s="1137" t="s">
        <v>3357</v>
      </c>
      <c r="P1705" s="323"/>
      <c r="Q1705" s="323"/>
      <c r="R1705" s="326"/>
      <c r="S1705" s="326"/>
      <c r="T1705" s="327"/>
      <c r="U1705" s="326"/>
      <c r="V1705" s="328"/>
      <c r="W1705" s="323"/>
      <c r="X1705" s="323"/>
      <c r="Y1705" s="323"/>
    </row>
    <row r="1706" spans="1:25" s="1130" customFormat="1" ht="13.2" hidden="1">
      <c r="A1706" s="1138" t="s">
        <v>3358</v>
      </c>
      <c r="B1706" s="1137" t="s">
        <v>14</v>
      </c>
      <c r="C1706" s="1134">
        <v>19</v>
      </c>
      <c r="D1706" s="1135">
        <v>39</v>
      </c>
      <c r="E1706" s="1135">
        <v>86</v>
      </c>
      <c r="F1706" s="1135">
        <v>164</v>
      </c>
      <c r="G1706" s="1135">
        <v>208</v>
      </c>
      <c r="H1706" s="1135">
        <v>202</v>
      </c>
      <c r="I1706" s="1135">
        <v>185</v>
      </c>
      <c r="J1706" s="1135">
        <v>174</v>
      </c>
      <c r="K1706" s="1135">
        <v>97</v>
      </c>
      <c r="L1706" s="1135">
        <v>71</v>
      </c>
      <c r="M1706" s="1135">
        <v>27</v>
      </c>
      <c r="N1706" s="1136">
        <v>15</v>
      </c>
      <c r="O1706" s="1139">
        <v>943</v>
      </c>
      <c r="P1706" s="323"/>
      <c r="Q1706" s="323"/>
      <c r="R1706" s="326"/>
      <c r="S1706" s="326"/>
      <c r="T1706" s="327"/>
      <c r="U1706" s="326"/>
      <c r="V1706" s="328"/>
      <c r="W1706" s="323"/>
      <c r="X1706" s="323"/>
      <c r="Y1706" s="323"/>
    </row>
    <row r="1707" spans="1:25" s="1130" customFormat="1" ht="13.2" hidden="1">
      <c r="A1707" s="1319" t="s">
        <v>11</v>
      </c>
      <c r="B1707" s="1140" t="s">
        <v>15</v>
      </c>
      <c r="C1707" s="1141">
        <v>30</v>
      </c>
      <c r="D1707" s="1142">
        <v>47</v>
      </c>
      <c r="E1707" s="1142">
        <v>104</v>
      </c>
      <c r="F1707" s="1142">
        <v>188</v>
      </c>
      <c r="G1707" s="1142">
        <v>215</v>
      </c>
      <c r="H1707" s="1142">
        <v>201</v>
      </c>
      <c r="I1707" s="1142">
        <v>188</v>
      </c>
      <c r="J1707" s="1142">
        <v>187</v>
      </c>
      <c r="K1707" s="1142">
        <v>113</v>
      </c>
      <c r="L1707" s="1142">
        <v>101</v>
      </c>
      <c r="M1707" s="1142">
        <v>41</v>
      </c>
      <c r="N1707" s="1143">
        <v>25</v>
      </c>
      <c r="O1707" s="1144">
        <v>1054</v>
      </c>
      <c r="P1707" s="323"/>
      <c r="Q1707" s="323"/>
      <c r="R1707" s="326"/>
      <c r="S1707" s="326"/>
      <c r="T1707" s="327"/>
      <c r="U1707" s="326"/>
      <c r="V1707" s="328"/>
      <c r="W1707" s="323"/>
      <c r="X1707" s="323"/>
      <c r="Y1707" s="323"/>
    </row>
    <row r="1708" spans="1:25" s="1130" customFormat="1" ht="13.2" hidden="1">
      <c r="A1708" s="1320"/>
      <c r="B1708" s="1140" t="s">
        <v>16</v>
      </c>
      <c r="C1708" s="1141">
        <v>34</v>
      </c>
      <c r="D1708" s="1142">
        <v>48</v>
      </c>
      <c r="E1708" s="1142">
        <v>106</v>
      </c>
      <c r="F1708" s="1142">
        <v>186</v>
      </c>
      <c r="G1708" s="1142">
        <v>204</v>
      </c>
      <c r="H1708" s="1142">
        <v>187</v>
      </c>
      <c r="I1708" s="1142">
        <v>177</v>
      </c>
      <c r="J1708" s="1142">
        <v>180</v>
      </c>
      <c r="K1708" s="1142">
        <v>114</v>
      </c>
      <c r="L1708" s="1142">
        <v>108</v>
      </c>
      <c r="M1708" s="1142">
        <v>45</v>
      </c>
      <c r="N1708" s="1143">
        <v>28</v>
      </c>
      <c r="O1708" s="1144">
        <v>1038</v>
      </c>
      <c r="P1708" s="323"/>
      <c r="Q1708" s="323"/>
      <c r="R1708" s="326"/>
      <c r="S1708" s="326"/>
      <c r="T1708" s="327"/>
      <c r="U1708" s="326"/>
      <c r="V1708" s="328"/>
      <c r="W1708" s="323"/>
      <c r="X1708" s="323"/>
      <c r="Y1708" s="323"/>
    </row>
    <row r="1709" spans="1:25" s="1130" customFormat="1" ht="13.2" hidden="1">
      <c r="A1709" s="1320"/>
      <c r="B1709" s="1140" t="s">
        <v>17</v>
      </c>
      <c r="C1709" s="1141">
        <v>36</v>
      </c>
      <c r="D1709" s="1142">
        <v>47</v>
      </c>
      <c r="E1709" s="1142">
        <v>104</v>
      </c>
      <c r="F1709" s="1142">
        <v>175</v>
      </c>
      <c r="G1709" s="1142">
        <v>184</v>
      </c>
      <c r="H1709" s="1142">
        <v>166</v>
      </c>
      <c r="I1709" s="1142">
        <v>158</v>
      </c>
      <c r="J1709" s="1142">
        <v>166</v>
      </c>
      <c r="K1709" s="1142">
        <v>109</v>
      </c>
      <c r="L1709" s="1142">
        <v>110</v>
      </c>
      <c r="M1709" s="1142">
        <v>47</v>
      </c>
      <c r="N1709" s="1143">
        <v>30</v>
      </c>
      <c r="O1709" s="1144">
        <v>975</v>
      </c>
      <c r="P1709" s="323"/>
      <c r="Q1709" s="323"/>
      <c r="R1709" s="326"/>
      <c r="S1709" s="326"/>
      <c r="T1709" s="327"/>
      <c r="U1709" s="326"/>
      <c r="V1709" s="328"/>
      <c r="W1709" s="323"/>
      <c r="X1709" s="323"/>
      <c r="Y1709" s="323"/>
    </row>
    <row r="1710" spans="1:25" s="1130" customFormat="1" ht="13.2" hidden="1">
      <c r="A1710" s="1321"/>
      <c r="B1710" s="1137" t="s">
        <v>18</v>
      </c>
      <c r="C1710" s="1134">
        <v>34</v>
      </c>
      <c r="D1710" s="1135">
        <v>40</v>
      </c>
      <c r="E1710" s="1135">
        <v>84</v>
      </c>
      <c r="F1710" s="1135">
        <v>130</v>
      </c>
      <c r="G1710" s="1135">
        <v>125</v>
      </c>
      <c r="H1710" s="1135">
        <v>109</v>
      </c>
      <c r="I1710" s="1135">
        <v>105</v>
      </c>
      <c r="J1710" s="1135">
        <v>118</v>
      </c>
      <c r="K1710" s="1135">
        <v>86</v>
      </c>
      <c r="L1710" s="1135">
        <v>97</v>
      </c>
      <c r="M1710" s="1135">
        <v>43</v>
      </c>
      <c r="N1710" s="1136">
        <v>29</v>
      </c>
      <c r="O1710" s="1145">
        <v>732</v>
      </c>
      <c r="P1710" s="323"/>
      <c r="Q1710" s="323"/>
      <c r="R1710" s="326"/>
      <c r="S1710" s="326"/>
      <c r="T1710" s="327"/>
      <c r="U1710" s="326"/>
      <c r="V1710" s="328"/>
      <c r="W1710" s="323"/>
      <c r="X1710" s="323"/>
      <c r="Y1710" s="323"/>
    </row>
    <row r="1711" spans="1:25" s="1130" customFormat="1" ht="13.2" hidden="1">
      <c r="A1711" s="1319" t="s">
        <v>3359</v>
      </c>
      <c r="B1711" s="1140" t="s">
        <v>15</v>
      </c>
      <c r="C1711" s="1141">
        <v>27</v>
      </c>
      <c r="D1711" s="1142">
        <v>46</v>
      </c>
      <c r="E1711" s="1142">
        <v>100</v>
      </c>
      <c r="F1711" s="1142">
        <v>183</v>
      </c>
      <c r="G1711" s="1142">
        <v>218</v>
      </c>
      <c r="H1711" s="1142">
        <v>205</v>
      </c>
      <c r="I1711" s="1142">
        <v>188</v>
      </c>
      <c r="J1711" s="1142">
        <v>187</v>
      </c>
      <c r="K1711" s="1142">
        <v>109</v>
      </c>
      <c r="L1711" s="1142">
        <v>94</v>
      </c>
      <c r="M1711" s="1142">
        <v>36</v>
      </c>
      <c r="N1711" s="1143">
        <v>22</v>
      </c>
      <c r="O1711" s="1144">
        <v>1037</v>
      </c>
      <c r="P1711" s="323"/>
      <c r="Q1711" s="323"/>
      <c r="R1711" s="326"/>
      <c r="S1711" s="326"/>
      <c r="T1711" s="327"/>
      <c r="U1711" s="326"/>
      <c r="V1711" s="328"/>
      <c r="W1711" s="323"/>
      <c r="X1711" s="323"/>
      <c r="Y1711" s="323"/>
    </row>
    <row r="1712" spans="1:25" s="1130" customFormat="1" ht="13.2" hidden="1">
      <c r="A1712" s="1320"/>
      <c r="B1712" s="1140" t="s">
        <v>16</v>
      </c>
      <c r="C1712" s="1141">
        <v>30</v>
      </c>
      <c r="D1712" s="1142">
        <v>46</v>
      </c>
      <c r="E1712" s="1142">
        <v>101</v>
      </c>
      <c r="F1712" s="1142">
        <v>180</v>
      </c>
      <c r="G1712" s="1142">
        <v>210</v>
      </c>
      <c r="H1712" s="1142">
        <v>194</v>
      </c>
      <c r="I1712" s="1142">
        <v>178</v>
      </c>
      <c r="J1712" s="1142">
        <v>182</v>
      </c>
      <c r="K1712" s="1142">
        <v>108</v>
      </c>
      <c r="L1712" s="1142">
        <v>100</v>
      </c>
      <c r="M1712" s="1142">
        <v>38</v>
      </c>
      <c r="N1712" s="1143">
        <v>24</v>
      </c>
      <c r="O1712" s="1144">
        <v>1020</v>
      </c>
      <c r="P1712" s="323"/>
      <c r="Q1712" s="323"/>
      <c r="R1712" s="326"/>
      <c r="S1712" s="326"/>
      <c r="T1712" s="327"/>
      <c r="U1712" s="326"/>
      <c r="V1712" s="328"/>
      <c r="W1712" s="323"/>
      <c r="X1712" s="323"/>
      <c r="Y1712" s="323"/>
    </row>
    <row r="1713" spans="1:25" s="1130" customFormat="1" ht="13.2" hidden="1">
      <c r="A1713" s="1320"/>
      <c r="B1713" s="1140" t="s">
        <v>17</v>
      </c>
      <c r="C1713" s="1141">
        <v>31</v>
      </c>
      <c r="D1713" s="1142">
        <v>45</v>
      </c>
      <c r="E1713" s="1142">
        <v>98</v>
      </c>
      <c r="F1713" s="1142">
        <v>170</v>
      </c>
      <c r="G1713" s="1142">
        <v>194</v>
      </c>
      <c r="H1713" s="1142">
        <v>176</v>
      </c>
      <c r="I1713" s="1142">
        <v>162</v>
      </c>
      <c r="J1713" s="1142">
        <v>169</v>
      </c>
      <c r="K1713" s="1142">
        <v>103</v>
      </c>
      <c r="L1713" s="1142">
        <v>100</v>
      </c>
      <c r="M1713" s="1142">
        <v>39</v>
      </c>
      <c r="N1713" s="1143">
        <v>25</v>
      </c>
      <c r="O1713" s="1144">
        <v>962</v>
      </c>
      <c r="P1713" s="323"/>
      <c r="Q1713" s="323"/>
      <c r="R1713" s="326"/>
      <c r="S1713" s="326"/>
      <c r="T1713" s="327"/>
      <c r="U1713" s="326"/>
      <c r="V1713" s="328"/>
      <c r="W1713" s="323"/>
      <c r="X1713" s="323"/>
      <c r="Y1713" s="323"/>
    </row>
    <row r="1714" spans="1:25" s="1130" customFormat="1" ht="13.2" hidden="1">
      <c r="A1714" s="1321"/>
      <c r="B1714" s="1137" t="s">
        <v>18</v>
      </c>
      <c r="C1714" s="1134">
        <v>28</v>
      </c>
      <c r="D1714" s="1135">
        <v>38</v>
      </c>
      <c r="E1714" s="1135">
        <v>79</v>
      </c>
      <c r="F1714" s="1135">
        <v>130</v>
      </c>
      <c r="G1714" s="1135">
        <v>143</v>
      </c>
      <c r="H1714" s="1135">
        <v>125</v>
      </c>
      <c r="I1714" s="1135">
        <v>116</v>
      </c>
      <c r="J1714" s="1135">
        <v>127</v>
      </c>
      <c r="K1714" s="1135">
        <v>81</v>
      </c>
      <c r="L1714" s="1135">
        <v>86</v>
      </c>
      <c r="M1714" s="1135">
        <v>34</v>
      </c>
      <c r="N1714" s="1136">
        <v>24</v>
      </c>
      <c r="O1714" s="1145">
        <v>740</v>
      </c>
      <c r="P1714" s="323"/>
      <c r="Q1714" s="323"/>
      <c r="R1714" s="326"/>
      <c r="S1714" s="326"/>
      <c r="T1714" s="327"/>
      <c r="U1714" s="326"/>
      <c r="V1714" s="328"/>
      <c r="W1714" s="323"/>
      <c r="X1714" s="323"/>
      <c r="Y1714" s="323"/>
    </row>
    <row r="1715" spans="1:25" s="1130" customFormat="1" ht="13.2" hidden="1">
      <c r="A1715" s="1319" t="s">
        <v>3360</v>
      </c>
      <c r="B1715" s="1140" t="s">
        <v>15</v>
      </c>
      <c r="C1715" s="1141">
        <v>25</v>
      </c>
      <c r="D1715" s="1142">
        <v>42</v>
      </c>
      <c r="E1715" s="1142">
        <v>94</v>
      </c>
      <c r="F1715" s="1142">
        <v>175</v>
      </c>
      <c r="G1715" s="1142">
        <v>204</v>
      </c>
      <c r="H1715" s="1142">
        <v>192</v>
      </c>
      <c r="I1715" s="1142">
        <v>180</v>
      </c>
      <c r="J1715" s="1142">
        <v>174</v>
      </c>
      <c r="K1715" s="1142">
        <v>105</v>
      </c>
      <c r="L1715" s="1142">
        <v>87</v>
      </c>
      <c r="M1715" s="1142">
        <v>36</v>
      </c>
      <c r="N1715" s="1143">
        <v>21</v>
      </c>
      <c r="O1715" s="1144">
        <v>978</v>
      </c>
      <c r="P1715" s="323"/>
      <c r="Q1715" s="323"/>
      <c r="R1715" s="326"/>
      <c r="S1715" s="326"/>
      <c r="T1715" s="327"/>
      <c r="U1715" s="326"/>
      <c r="V1715" s="328"/>
      <c r="W1715" s="323"/>
      <c r="X1715" s="323"/>
      <c r="Y1715" s="323"/>
    </row>
    <row r="1716" spans="1:25" s="1130" customFormat="1" ht="13.2" hidden="1">
      <c r="A1716" s="1320"/>
      <c r="B1716" s="1140" t="s">
        <v>16</v>
      </c>
      <c r="C1716" s="1141">
        <v>27</v>
      </c>
      <c r="D1716" s="1142">
        <v>41</v>
      </c>
      <c r="E1716" s="1142">
        <v>92</v>
      </c>
      <c r="F1716" s="1142">
        <v>170</v>
      </c>
      <c r="G1716" s="1142">
        <v>193</v>
      </c>
      <c r="H1716" s="1142">
        <v>177</v>
      </c>
      <c r="I1716" s="1142">
        <v>168</v>
      </c>
      <c r="J1716" s="1142">
        <v>164</v>
      </c>
      <c r="K1716" s="1142">
        <v>103</v>
      </c>
      <c r="L1716" s="1142">
        <v>89</v>
      </c>
      <c r="M1716" s="1142">
        <v>38</v>
      </c>
      <c r="N1716" s="1143">
        <v>23</v>
      </c>
      <c r="O1716" s="1144">
        <v>942</v>
      </c>
      <c r="P1716" s="323"/>
      <c r="Q1716" s="323"/>
      <c r="R1716" s="326"/>
      <c r="S1716" s="326"/>
      <c r="T1716" s="327"/>
      <c r="U1716" s="326"/>
      <c r="V1716" s="328"/>
      <c r="W1716" s="323"/>
      <c r="X1716" s="323"/>
      <c r="Y1716" s="323"/>
    </row>
    <row r="1717" spans="1:25" s="1130" customFormat="1" ht="13.2" hidden="1">
      <c r="A1717" s="1320"/>
      <c r="B1717" s="1140" t="s">
        <v>17</v>
      </c>
      <c r="C1717" s="1141">
        <v>27</v>
      </c>
      <c r="D1717" s="1142">
        <v>38</v>
      </c>
      <c r="E1717" s="1142">
        <v>88</v>
      </c>
      <c r="F1717" s="1142">
        <v>158</v>
      </c>
      <c r="G1717" s="1142">
        <v>175</v>
      </c>
      <c r="H1717" s="1142">
        <v>157</v>
      </c>
      <c r="I1717" s="1142">
        <v>151</v>
      </c>
      <c r="J1717" s="1142">
        <v>150</v>
      </c>
      <c r="K1717" s="1142">
        <v>98</v>
      </c>
      <c r="L1717" s="1142">
        <v>87</v>
      </c>
      <c r="M1717" s="1142">
        <v>39</v>
      </c>
      <c r="N1717" s="1143">
        <v>24</v>
      </c>
      <c r="O1717" s="1144">
        <v>873</v>
      </c>
      <c r="P1717" s="323"/>
      <c r="Q1717" s="323"/>
      <c r="R1717" s="326"/>
      <c r="S1717" s="326"/>
      <c r="T1717" s="327"/>
      <c r="U1717" s="326"/>
      <c r="V1717" s="328"/>
      <c r="W1717" s="323"/>
      <c r="X1717" s="323"/>
      <c r="Y1717" s="323"/>
    </row>
    <row r="1718" spans="1:25" s="1130" customFormat="1" ht="13.2" hidden="1">
      <c r="A1718" s="1321"/>
      <c r="B1718" s="1137" t="s">
        <v>18</v>
      </c>
      <c r="C1718" s="1134">
        <v>24</v>
      </c>
      <c r="D1718" s="1135">
        <v>30</v>
      </c>
      <c r="E1718" s="1135">
        <v>68</v>
      </c>
      <c r="F1718" s="1135">
        <v>118</v>
      </c>
      <c r="G1718" s="1135">
        <v>126</v>
      </c>
      <c r="H1718" s="1135">
        <v>109</v>
      </c>
      <c r="I1718" s="1135">
        <v>106</v>
      </c>
      <c r="J1718" s="1135">
        <v>109</v>
      </c>
      <c r="K1718" s="1135">
        <v>75</v>
      </c>
      <c r="L1718" s="1135">
        <v>72</v>
      </c>
      <c r="M1718" s="1135">
        <v>34</v>
      </c>
      <c r="N1718" s="1136">
        <v>21</v>
      </c>
      <c r="O1718" s="1145">
        <v>654</v>
      </c>
      <c r="P1718" s="323"/>
      <c r="Q1718" s="323"/>
      <c r="R1718" s="326"/>
      <c r="S1718" s="326"/>
      <c r="T1718" s="327"/>
      <c r="U1718" s="326"/>
      <c r="V1718" s="328"/>
      <c r="W1718" s="323"/>
      <c r="X1718" s="323"/>
      <c r="Y1718" s="323"/>
    </row>
    <row r="1719" spans="1:25" s="1130" customFormat="1" ht="13.2" hidden="1">
      <c r="A1719" s="1319" t="s">
        <v>980</v>
      </c>
      <c r="B1719" s="1140" t="s">
        <v>15</v>
      </c>
      <c r="C1719" s="1141">
        <v>19</v>
      </c>
      <c r="D1719" s="1142">
        <v>39</v>
      </c>
      <c r="E1719" s="1142">
        <v>84</v>
      </c>
      <c r="F1719" s="1142">
        <v>160</v>
      </c>
      <c r="G1719" s="1142">
        <v>206</v>
      </c>
      <c r="H1719" s="1142">
        <v>197</v>
      </c>
      <c r="I1719" s="1142">
        <v>178</v>
      </c>
      <c r="J1719" s="1142">
        <v>172</v>
      </c>
      <c r="K1719" s="1142">
        <v>94</v>
      </c>
      <c r="L1719" s="1142">
        <v>73</v>
      </c>
      <c r="M1719" s="1142">
        <v>26</v>
      </c>
      <c r="N1719" s="1143">
        <v>15</v>
      </c>
      <c r="O1719" s="1144">
        <v>925</v>
      </c>
      <c r="P1719" s="323"/>
      <c r="Q1719" s="323"/>
      <c r="R1719" s="326"/>
      <c r="S1719" s="326"/>
      <c r="T1719" s="327"/>
      <c r="U1719" s="326"/>
      <c r="V1719" s="328"/>
      <c r="W1719" s="323"/>
      <c r="X1719" s="323"/>
      <c r="Y1719" s="323"/>
    </row>
    <row r="1720" spans="1:25" s="1130" customFormat="1" ht="13.2" hidden="1">
      <c r="A1720" s="1320"/>
      <c r="B1720" s="1140" t="s">
        <v>16</v>
      </c>
      <c r="C1720" s="1141">
        <v>18</v>
      </c>
      <c r="D1720" s="1142">
        <v>37</v>
      </c>
      <c r="E1720" s="1142">
        <v>80</v>
      </c>
      <c r="F1720" s="1142">
        <v>152</v>
      </c>
      <c r="G1720" s="1142">
        <v>196</v>
      </c>
      <c r="H1720" s="1142">
        <v>185</v>
      </c>
      <c r="I1720" s="1142">
        <v>166</v>
      </c>
      <c r="J1720" s="1142">
        <v>163</v>
      </c>
      <c r="K1720" s="1142">
        <v>89</v>
      </c>
      <c r="L1720" s="1142">
        <v>72</v>
      </c>
      <c r="M1720" s="1142">
        <v>25</v>
      </c>
      <c r="N1720" s="1143">
        <v>15</v>
      </c>
      <c r="O1720" s="1144">
        <v>878</v>
      </c>
      <c r="P1720" s="323"/>
      <c r="Q1720" s="323"/>
      <c r="R1720" s="326"/>
      <c r="S1720" s="326"/>
      <c r="T1720" s="327"/>
      <c r="U1720" s="326"/>
      <c r="V1720" s="328"/>
      <c r="W1720" s="323"/>
      <c r="X1720" s="323"/>
      <c r="Y1720" s="323"/>
    </row>
    <row r="1721" spans="1:25" s="1130" customFormat="1" ht="13.2" hidden="1">
      <c r="A1721" s="1320"/>
      <c r="B1721" s="1140" t="s">
        <v>17</v>
      </c>
      <c r="C1721" s="1141">
        <v>17</v>
      </c>
      <c r="D1721" s="1142">
        <v>34</v>
      </c>
      <c r="E1721" s="1142">
        <v>74</v>
      </c>
      <c r="F1721" s="1142">
        <v>140</v>
      </c>
      <c r="G1721" s="1142">
        <v>182</v>
      </c>
      <c r="H1721" s="1142">
        <v>169</v>
      </c>
      <c r="I1721" s="1142">
        <v>151</v>
      </c>
      <c r="J1721" s="1142">
        <v>150</v>
      </c>
      <c r="K1721" s="1142">
        <v>82</v>
      </c>
      <c r="L1721" s="1142">
        <v>68</v>
      </c>
      <c r="M1721" s="1142">
        <v>23</v>
      </c>
      <c r="N1721" s="1143">
        <v>14</v>
      </c>
      <c r="O1721" s="1144">
        <v>810</v>
      </c>
      <c r="P1721" s="323"/>
      <c r="Q1721" s="323"/>
      <c r="R1721" s="326"/>
      <c r="S1721" s="326"/>
      <c r="T1721" s="327"/>
      <c r="U1721" s="326"/>
      <c r="V1721" s="328"/>
      <c r="W1721" s="323"/>
      <c r="X1721" s="323"/>
      <c r="Y1721" s="323"/>
    </row>
    <row r="1722" spans="1:25" s="1130" customFormat="1" ht="13.2" hidden="1">
      <c r="A1722" s="1321"/>
      <c r="B1722" s="1137" t="s">
        <v>18</v>
      </c>
      <c r="C1722" s="1134">
        <v>14</v>
      </c>
      <c r="D1722" s="1135">
        <v>26</v>
      </c>
      <c r="E1722" s="1135">
        <v>58</v>
      </c>
      <c r="F1722" s="1135">
        <v>108</v>
      </c>
      <c r="G1722" s="1135">
        <v>142</v>
      </c>
      <c r="H1722" s="1135">
        <v>126</v>
      </c>
      <c r="I1722" s="1135">
        <v>114</v>
      </c>
      <c r="J1722" s="1135">
        <v>115</v>
      </c>
      <c r="K1722" s="1135">
        <v>64</v>
      </c>
      <c r="L1722" s="1135">
        <v>55</v>
      </c>
      <c r="M1722" s="1135">
        <v>18</v>
      </c>
      <c r="N1722" s="1136">
        <v>11</v>
      </c>
      <c r="O1722" s="1145">
        <v>625</v>
      </c>
      <c r="P1722" s="323"/>
      <c r="Q1722" s="323"/>
      <c r="R1722" s="326"/>
      <c r="S1722" s="326"/>
      <c r="T1722" s="327"/>
      <c r="U1722" s="326"/>
      <c r="V1722" s="328"/>
      <c r="W1722" s="323"/>
      <c r="X1722" s="323"/>
      <c r="Y1722" s="323"/>
    </row>
    <row r="1723" spans="1:25" s="1130" customFormat="1" ht="13.2" hidden="1">
      <c r="A1723" s="1319" t="s">
        <v>981</v>
      </c>
      <c r="B1723" s="1140" t="s">
        <v>15</v>
      </c>
      <c r="C1723" s="1141">
        <v>17</v>
      </c>
      <c r="D1723" s="1142">
        <v>35</v>
      </c>
      <c r="E1723" s="1142">
        <v>76</v>
      </c>
      <c r="F1723" s="1142">
        <v>150</v>
      </c>
      <c r="G1723" s="1142">
        <v>186</v>
      </c>
      <c r="H1723" s="1142">
        <v>177</v>
      </c>
      <c r="I1723" s="1142">
        <v>165</v>
      </c>
      <c r="J1723" s="1142">
        <v>153</v>
      </c>
      <c r="K1723" s="1142">
        <v>89</v>
      </c>
      <c r="L1723" s="1142">
        <v>64</v>
      </c>
      <c r="M1723" s="1142">
        <v>26</v>
      </c>
      <c r="N1723" s="1143">
        <v>14</v>
      </c>
      <c r="O1723" s="1144">
        <v>844</v>
      </c>
      <c r="P1723" s="323"/>
      <c r="Q1723" s="323"/>
      <c r="R1723" s="326"/>
      <c r="S1723" s="326"/>
      <c r="T1723" s="327"/>
      <c r="U1723" s="326"/>
      <c r="V1723" s="328"/>
      <c r="W1723" s="323"/>
      <c r="X1723" s="323"/>
      <c r="Y1723" s="323"/>
    </row>
    <row r="1724" spans="1:25" s="1130" customFormat="1" ht="13.2" hidden="1">
      <c r="A1724" s="1320"/>
      <c r="B1724" s="1140" t="s">
        <v>16</v>
      </c>
      <c r="C1724" s="1141">
        <v>16</v>
      </c>
      <c r="D1724" s="1142">
        <v>32</v>
      </c>
      <c r="E1724" s="1142">
        <v>70</v>
      </c>
      <c r="F1724" s="1142">
        <v>138</v>
      </c>
      <c r="G1724" s="1142">
        <v>171</v>
      </c>
      <c r="H1724" s="1142">
        <v>160</v>
      </c>
      <c r="I1724" s="1142">
        <v>151</v>
      </c>
      <c r="J1724" s="1142">
        <v>139</v>
      </c>
      <c r="K1724" s="1142">
        <v>83</v>
      </c>
      <c r="L1724" s="1142">
        <v>60</v>
      </c>
      <c r="M1724" s="1142">
        <v>25</v>
      </c>
      <c r="N1724" s="1143">
        <v>13</v>
      </c>
      <c r="O1724" s="1144">
        <v>775</v>
      </c>
      <c r="P1724" s="323"/>
      <c r="Q1724" s="323"/>
      <c r="R1724" s="326"/>
      <c r="S1724" s="326"/>
      <c r="T1724" s="327"/>
      <c r="U1724" s="326"/>
      <c r="V1724" s="328"/>
      <c r="W1724" s="323"/>
      <c r="X1724" s="323"/>
      <c r="Y1724" s="323"/>
    </row>
    <row r="1725" spans="1:25" s="1130" customFormat="1" ht="13.2" hidden="1">
      <c r="A1725" s="1320"/>
      <c r="B1725" s="1140" t="s">
        <v>17</v>
      </c>
      <c r="C1725" s="1141">
        <v>15</v>
      </c>
      <c r="D1725" s="1142">
        <v>28</v>
      </c>
      <c r="E1725" s="1142">
        <v>63</v>
      </c>
      <c r="F1725" s="1142">
        <v>125</v>
      </c>
      <c r="G1725" s="1142">
        <v>155</v>
      </c>
      <c r="H1725" s="1142">
        <v>142</v>
      </c>
      <c r="I1725" s="1142">
        <v>134</v>
      </c>
      <c r="J1725" s="1142">
        <v>125</v>
      </c>
      <c r="K1725" s="1142">
        <v>75</v>
      </c>
      <c r="L1725" s="1142">
        <v>56</v>
      </c>
      <c r="M1725" s="1142">
        <v>23</v>
      </c>
      <c r="N1725" s="1143">
        <v>12</v>
      </c>
      <c r="O1725" s="1144">
        <v>698</v>
      </c>
      <c r="P1725" s="323"/>
      <c r="Q1725" s="323"/>
      <c r="R1725" s="326"/>
      <c r="S1725" s="326"/>
      <c r="T1725" s="327"/>
      <c r="U1725" s="326"/>
      <c r="V1725" s="328"/>
      <c r="W1725" s="323"/>
      <c r="X1725" s="323"/>
      <c r="Y1725" s="323"/>
    </row>
    <row r="1726" spans="1:25" s="1130" customFormat="1" ht="13.2" hidden="1">
      <c r="A1726" s="1321"/>
      <c r="B1726" s="1137" t="s">
        <v>18</v>
      </c>
      <c r="C1726" s="1134">
        <v>11</v>
      </c>
      <c r="D1726" s="1135">
        <v>20</v>
      </c>
      <c r="E1726" s="1135">
        <v>47</v>
      </c>
      <c r="F1726" s="1135">
        <v>94</v>
      </c>
      <c r="G1726" s="1135">
        <v>116</v>
      </c>
      <c r="H1726" s="1135">
        <v>104</v>
      </c>
      <c r="I1726" s="1135">
        <v>98</v>
      </c>
      <c r="J1726" s="1135">
        <v>92</v>
      </c>
      <c r="K1726" s="1135">
        <v>57</v>
      </c>
      <c r="L1726" s="1135">
        <v>44</v>
      </c>
      <c r="M1726" s="1135">
        <v>18</v>
      </c>
      <c r="N1726" s="1136">
        <v>10</v>
      </c>
      <c r="O1726" s="1145">
        <v>522</v>
      </c>
      <c r="P1726" s="323"/>
      <c r="Q1726" s="323"/>
      <c r="R1726" s="326"/>
      <c r="S1726" s="326"/>
      <c r="T1726" s="327"/>
      <c r="U1726" s="326"/>
      <c r="V1726" s="328"/>
      <c r="W1726" s="323"/>
      <c r="X1726" s="323"/>
      <c r="Y1726" s="323"/>
    </row>
    <row r="1727" spans="1:25" s="1130" customFormat="1" ht="13.2" hidden="1">
      <c r="A1727" s="1319" t="s">
        <v>3361</v>
      </c>
      <c r="B1727" s="1140" t="s">
        <v>15</v>
      </c>
      <c r="C1727" s="1141">
        <v>12</v>
      </c>
      <c r="D1727" s="1142">
        <v>30</v>
      </c>
      <c r="E1727" s="1142">
        <v>59</v>
      </c>
      <c r="F1727" s="1142">
        <v>122</v>
      </c>
      <c r="G1727" s="1142">
        <v>164</v>
      </c>
      <c r="H1727" s="1142">
        <v>163</v>
      </c>
      <c r="I1727" s="1142">
        <v>149</v>
      </c>
      <c r="J1727" s="1142">
        <v>132</v>
      </c>
      <c r="K1727" s="1142">
        <v>72</v>
      </c>
      <c r="L1727" s="1142">
        <v>45</v>
      </c>
      <c r="M1727" s="1142">
        <v>18</v>
      </c>
      <c r="N1727" s="1143">
        <v>10</v>
      </c>
      <c r="O1727" s="1144">
        <v>715</v>
      </c>
      <c r="P1727" s="323"/>
      <c r="Q1727" s="323"/>
      <c r="R1727" s="326"/>
      <c r="S1727" s="326"/>
      <c r="T1727" s="327"/>
      <c r="U1727" s="326"/>
      <c r="V1727" s="328"/>
      <c r="W1727" s="323"/>
      <c r="X1727" s="323"/>
      <c r="Y1727" s="323"/>
    </row>
    <row r="1728" spans="1:25" s="1130" customFormat="1" ht="13.2" hidden="1">
      <c r="A1728" s="1320"/>
      <c r="B1728" s="1140" t="s">
        <v>16</v>
      </c>
      <c r="C1728" s="1141">
        <v>11</v>
      </c>
      <c r="D1728" s="1142">
        <v>27</v>
      </c>
      <c r="E1728" s="1142">
        <v>50</v>
      </c>
      <c r="F1728" s="1142">
        <v>101</v>
      </c>
      <c r="G1728" s="1142">
        <v>140</v>
      </c>
      <c r="H1728" s="1142">
        <v>137</v>
      </c>
      <c r="I1728" s="1142">
        <v>126</v>
      </c>
      <c r="J1728" s="1142">
        <v>111</v>
      </c>
      <c r="K1728" s="1142">
        <v>61</v>
      </c>
      <c r="L1728" s="1142">
        <v>39</v>
      </c>
      <c r="M1728" s="1142">
        <v>16</v>
      </c>
      <c r="N1728" s="1143">
        <v>9</v>
      </c>
      <c r="O1728" s="1144">
        <v>607</v>
      </c>
      <c r="P1728" s="323"/>
      <c r="Q1728" s="323"/>
      <c r="R1728" s="326"/>
      <c r="S1728" s="326"/>
      <c r="T1728" s="327"/>
      <c r="U1728" s="326"/>
      <c r="V1728" s="328"/>
      <c r="W1728" s="323"/>
      <c r="X1728" s="323"/>
      <c r="Y1728" s="323"/>
    </row>
    <row r="1729" spans="1:25" s="1130" customFormat="1" ht="13.2" hidden="1">
      <c r="A1729" s="1320"/>
      <c r="B1729" s="1140" t="s">
        <v>17</v>
      </c>
      <c r="C1729" s="1141">
        <v>10</v>
      </c>
      <c r="D1729" s="1142">
        <v>24</v>
      </c>
      <c r="E1729" s="1142">
        <v>43</v>
      </c>
      <c r="F1729" s="1142">
        <v>86</v>
      </c>
      <c r="G1729" s="1142">
        <v>121</v>
      </c>
      <c r="H1729" s="1142">
        <v>116</v>
      </c>
      <c r="I1729" s="1142">
        <v>107</v>
      </c>
      <c r="J1729" s="1142">
        <v>95</v>
      </c>
      <c r="K1729" s="1142">
        <v>53</v>
      </c>
      <c r="L1729" s="1142">
        <v>35</v>
      </c>
      <c r="M1729" s="1142">
        <v>14</v>
      </c>
      <c r="N1729" s="1143">
        <v>8</v>
      </c>
      <c r="O1729" s="1144">
        <v>521</v>
      </c>
      <c r="P1729" s="323"/>
      <c r="Q1729" s="323"/>
      <c r="R1729" s="326"/>
      <c r="S1729" s="326"/>
      <c r="T1729" s="327"/>
      <c r="U1729" s="326"/>
      <c r="V1729" s="328"/>
      <c r="W1729" s="323"/>
      <c r="X1729" s="323"/>
      <c r="Y1729" s="323"/>
    </row>
    <row r="1730" spans="1:25" s="1130" customFormat="1" ht="13.2" hidden="1">
      <c r="A1730" s="1321"/>
      <c r="B1730" s="1137" t="s">
        <v>18</v>
      </c>
      <c r="C1730" s="1134">
        <v>7</v>
      </c>
      <c r="D1730" s="1135">
        <v>18</v>
      </c>
      <c r="E1730" s="1135">
        <v>33</v>
      </c>
      <c r="F1730" s="1135">
        <v>66</v>
      </c>
      <c r="G1730" s="1135">
        <v>89</v>
      </c>
      <c r="H1730" s="1135">
        <v>86</v>
      </c>
      <c r="I1730" s="1135">
        <v>77</v>
      </c>
      <c r="J1730" s="1135">
        <v>70</v>
      </c>
      <c r="K1730" s="1135">
        <v>40</v>
      </c>
      <c r="L1730" s="1135">
        <v>28</v>
      </c>
      <c r="M1730" s="1135">
        <v>11</v>
      </c>
      <c r="N1730" s="1136">
        <v>6</v>
      </c>
      <c r="O1730" s="1145">
        <v>389</v>
      </c>
      <c r="P1730" s="323"/>
      <c r="Q1730" s="323"/>
      <c r="R1730" s="326"/>
      <c r="S1730" s="326"/>
      <c r="T1730" s="327"/>
      <c r="U1730" s="326"/>
      <c r="V1730" s="328"/>
      <c r="W1730" s="323"/>
      <c r="X1730" s="323"/>
      <c r="Y1730" s="323"/>
    </row>
    <row r="1731" spans="1:25" s="1130" customFormat="1" ht="13.2" hidden="1">
      <c r="A1731" s="1319" t="s">
        <v>3362</v>
      </c>
      <c r="B1731" s="1140" t="s">
        <v>15</v>
      </c>
      <c r="C1731" s="1141">
        <v>12</v>
      </c>
      <c r="D1731" s="1142">
        <v>32</v>
      </c>
      <c r="E1731" s="1142">
        <v>64</v>
      </c>
      <c r="F1731" s="1142">
        <v>130</v>
      </c>
      <c r="G1731" s="1142">
        <v>181</v>
      </c>
      <c r="H1731" s="1142">
        <v>179</v>
      </c>
      <c r="I1731" s="1142">
        <v>160</v>
      </c>
      <c r="J1731" s="1142">
        <v>147</v>
      </c>
      <c r="K1731" s="1142">
        <v>75</v>
      </c>
      <c r="L1731" s="1142">
        <v>49</v>
      </c>
      <c r="M1731" s="1142">
        <v>18</v>
      </c>
      <c r="N1731" s="1143">
        <v>10</v>
      </c>
      <c r="O1731" s="1144">
        <v>774</v>
      </c>
      <c r="P1731" s="323"/>
      <c r="Q1731" s="323"/>
      <c r="R1731" s="326"/>
      <c r="S1731" s="326"/>
      <c r="T1731" s="327"/>
      <c r="U1731" s="326"/>
      <c r="V1731" s="328"/>
      <c r="W1731" s="323"/>
      <c r="X1731" s="323"/>
      <c r="Y1731" s="323"/>
    </row>
    <row r="1732" spans="1:25" s="1130" customFormat="1" ht="13.2" hidden="1">
      <c r="A1732" s="1320"/>
      <c r="B1732" s="1140" t="s">
        <v>16</v>
      </c>
      <c r="C1732" s="1141">
        <v>11</v>
      </c>
      <c r="D1732" s="1142">
        <v>28</v>
      </c>
      <c r="E1732" s="1142">
        <v>56</v>
      </c>
      <c r="F1732" s="1142">
        <v>110</v>
      </c>
      <c r="G1732" s="1142">
        <v>160</v>
      </c>
      <c r="H1732" s="1142">
        <v>158</v>
      </c>
      <c r="I1732" s="1142">
        <v>139</v>
      </c>
      <c r="J1732" s="1142">
        <v>129</v>
      </c>
      <c r="K1732" s="1142">
        <v>65</v>
      </c>
      <c r="L1732" s="1142">
        <v>42</v>
      </c>
      <c r="M1732" s="1142">
        <v>16</v>
      </c>
      <c r="N1732" s="1143">
        <v>9</v>
      </c>
      <c r="O1732" s="1144">
        <v>676</v>
      </c>
      <c r="P1732" s="323"/>
      <c r="Q1732" s="323"/>
      <c r="R1732" s="326"/>
      <c r="S1732" s="326"/>
      <c r="T1732" s="327"/>
      <c r="U1732" s="326"/>
      <c r="V1732" s="328"/>
      <c r="W1732" s="323"/>
      <c r="X1732" s="323"/>
      <c r="Y1732" s="323"/>
    </row>
    <row r="1733" spans="1:25" s="1130" customFormat="1" ht="13.2" hidden="1">
      <c r="A1733" s="1320"/>
      <c r="B1733" s="1140" t="s">
        <v>17</v>
      </c>
      <c r="C1733" s="1141">
        <v>10</v>
      </c>
      <c r="D1733" s="1142">
        <v>25</v>
      </c>
      <c r="E1733" s="1142">
        <v>49</v>
      </c>
      <c r="F1733" s="1142">
        <v>96</v>
      </c>
      <c r="G1733" s="1142">
        <v>142</v>
      </c>
      <c r="H1733" s="1142">
        <v>137</v>
      </c>
      <c r="I1733" s="1142">
        <v>121</v>
      </c>
      <c r="J1733" s="1142">
        <v>113</v>
      </c>
      <c r="K1733" s="1142">
        <v>57</v>
      </c>
      <c r="L1733" s="1142">
        <v>37</v>
      </c>
      <c r="M1733" s="1142">
        <v>14</v>
      </c>
      <c r="N1733" s="1143">
        <v>8</v>
      </c>
      <c r="O1733" s="1144">
        <v>592</v>
      </c>
      <c r="P1733" s="323"/>
      <c r="Q1733" s="323"/>
      <c r="R1733" s="326"/>
      <c r="S1733" s="326"/>
      <c r="T1733" s="327"/>
      <c r="U1733" s="326"/>
      <c r="V1733" s="328"/>
      <c r="W1733" s="323"/>
      <c r="X1733" s="323"/>
      <c r="Y1733" s="323"/>
    </row>
    <row r="1734" spans="1:25" s="1130" customFormat="1" ht="13.2" hidden="1">
      <c r="A1734" s="1321"/>
      <c r="B1734" s="1137" t="s">
        <v>18</v>
      </c>
      <c r="C1734" s="1134">
        <v>8</v>
      </c>
      <c r="D1734" s="1135">
        <v>18</v>
      </c>
      <c r="E1734" s="1135">
        <v>38</v>
      </c>
      <c r="F1734" s="1135">
        <v>74</v>
      </c>
      <c r="G1734" s="1135">
        <v>109</v>
      </c>
      <c r="H1734" s="1135">
        <v>101</v>
      </c>
      <c r="I1734" s="1135">
        <v>90</v>
      </c>
      <c r="J1734" s="1135">
        <v>85</v>
      </c>
      <c r="K1734" s="1135">
        <v>43</v>
      </c>
      <c r="L1734" s="1135">
        <v>29</v>
      </c>
      <c r="M1734" s="1135">
        <v>11</v>
      </c>
      <c r="N1734" s="1136">
        <v>6</v>
      </c>
      <c r="O1734" s="1145">
        <v>448</v>
      </c>
      <c r="P1734" s="323"/>
      <c r="Q1734" s="323"/>
      <c r="R1734" s="326"/>
      <c r="S1734" s="326"/>
      <c r="T1734" s="327"/>
      <c r="U1734" s="326"/>
      <c r="V1734" s="328"/>
      <c r="W1734" s="323"/>
      <c r="X1734" s="323"/>
      <c r="Y1734" s="323"/>
    </row>
    <row r="1735" spans="1:25" s="1130" customFormat="1" ht="13.2" hidden="1">
      <c r="A1735" s="1319" t="s">
        <v>12</v>
      </c>
      <c r="B1735" s="1140" t="s">
        <v>15</v>
      </c>
      <c r="C1735" s="1141">
        <v>12</v>
      </c>
      <c r="D1735" s="1142">
        <v>29</v>
      </c>
      <c r="E1735" s="1142">
        <v>52</v>
      </c>
      <c r="F1735" s="1142">
        <v>112</v>
      </c>
      <c r="G1735" s="1142">
        <v>164</v>
      </c>
      <c r="H1735" s="1142">
        <v>165</v>
      </c>
      <c r="I1735" s="1142">
        <v>148</v>
      </c>
      <c r="J1735" s="1142">
        <v>130</v>
      </c>
      <c r="K1735" s="1142">
        <v>63</v>
      </c>
      <c r="L1735" s="1142">
        <v>37</v>
      </c>
      <c r="M1735" s="1142">
        <v>17</v>
      </c>
      <c r="N1735" s="1143">
        <v>10</v>
      </c>
      <c r="O1735" s="1144">
        <v>687</v>
      </c>
      <c r="P1735" s="323"/>
      <c r="Q1735" s="323"/>
      <c r="R1735" s="326"/>
      <c r="S1735" s="326"/>
      <c r="T1735" s="327"/>
      <c r="U1735" s="326"/>
      <c r="V1735" s="328"/>
      <c r="W1735" s="323"/>
      <c r="X1735" s="323"/>
      <c r="Y1735" s="323"/>
    </row>
    <row r="1736" spans="1:25" s="1130" customFormat="1" ht="13.2" hidden="1">
      <c r="A1736" s="1320"/>
      <c r="B1736" s="1140" t="s">
        <v>16</v>
      </c>
      <c r="C1736" s="1141">
        <v>11</v>
      </c>
      <c r="D1736" s="1142">
        <v>26</v>
      </c>
      <c r="E1736" s="1142">
        <v>42</v>
      </c>
      <c r="F1736" s="1142">
        <v>80</v>
      </c>
      <c r="G1736" s="1142">
        <v>131</v>
      </c>
      <c r="H1736" s="1142">
        <v>137</v>
      </c>
      <c r="I1736" s="1142">
        <v>120</v>
      </c>
      <c r="J1736" s="1142">
        <v>101</v>
      </c>
      <c r="K1736" s="1142">
        <v>49</v>
      </c>
      <c r="L1736" s="1142">
        <v>33</v>
      </c>
      <c r="M1736" s="1142">
        <v>15</v>
      </c>
      <c r="N1736" s="1143">
        <v>9</v>
      </c>
      <c r="O1736" s="1144">
        <v>552</v>
      </c>
      <c r="P1736" s="323"/>
      <c r="Q1736" s="323"/>
      <c r="R1736" s="326"/>
      <c r="S1736" s="326"/>
      <c r="T1736" s="327"/>
      <c r="U1736" s="326"/>
      <c r="V1736" s="328"/>
      <c r="W1736" s="323"/>
      <c r="X1736" s="323"/>
      <c r="Y1736" s="323"/>
    </row>
    <row r="1737" spans="1:25" s="1130" customFormat="1" ht="13.2" hidden="1">
      <c r="A1737" s="1320"/>
      <c r="B1737" s="1140" t="s">
        <v>17</v>
      </c>
      <c r="C1737" s="1141">
        <v>9</v>
      </c>
      <c r="D1737" s="1142">
        <v>23</v>
      </c>
      <c r="E1737" s="1142">
        <v>37</v>
      </c>
      <c r="F1737" s="1142">
        <v>65</v>
      </c>
      <c r="G1737" s="1142">
        <v>100</v>
      </c>
      <c r="H1737" s="1142">
        <v>104</v>
      </c>
      <c r="I1737" s="1142">
        <v>91</v>
      </c>
      <c r="J1737" s="1142">
        <v>79</v>
      </c>
      <c r="K1737" s="1142">
        <v>43</v>
      </c>
      <c r="L1737" s="1142">
        <v>30</v>
      </c>
      <c r="M1737" s="1142">
        <v>14</v>
      </c>
      <c r="N1737" s="1143">
        <v>8</v>
      </c>
      <c r="O1737" s="1144">
        <v>444</v>
      </c>
      <c r="P1737" s="323"/>
      <c r="Q1737" s="323"/>
      <c r="R1737" s="326"/>
      <c r="S1737" s="326"/>
      <c r="T1737" s="327"/>
      <c r="U1737" s="326"/>
      <c r="V1737" s="328"/>
      <c r="W1737" s="323"/>
      <c r="X1737" s="323"/>
      <c r="Y1737" s="323"/>
    </row>
    <row r="1738" spans="1:25" s="1130" customFormat="1" ht="13.2" hidden="1">
      <c r="A1738" s="1321"/>
      <c r="B1738" s="1137" t="s">
        <v>18</v>
      </c>
      <c r="C1738" s="1134">
        <v>7</v>
      </c>
      <c r="D1738" s="1135">
        <v>17</v>
      </c>
      <c r="E1738" s="1135">
        <v>30</v>
      </c>
      <c r="F1738" s="1135">
        <v>53</v>
      </c>
      <c r="G1738" s="1135">
        <v>75</v>
      </c>
      <c r="H1738" s="1135">
        <v>75</v>
      </c>
      <c r="I1738" s="1135">
        <v>67</v>
      </c>
      <c r="J1738" s="1135">
        <v>61</v>
      </c>
      <c r="K1738" s="1135">
        <v>34</v>
      </c>
      <c r="L1738" s="1135">
        <v>25</v>
      </c>
      <c r="M1738" s="1135">
        <v>11</v>
      </c>
      <c r="N1738" s="1136">
        <v>6</v>
      </c>
      <c r="O1738" s="1145">
        <v>338</v>
      </c>
      <c r="P1738" s="323"/>
      <c r="Q1738" s="323"/>
      <c r="R1738" s="326"/>
      <c r="S1738" s="326"/>
      <c r="T1738" s="327"/>
      <c r="U1738" s="326"/>
      <c r="V1738" s="328"/>
      <c r="W1738" s="323"/>
      <c r="X1738" s="323"/>
      <c r="Y1738" s="323"/>
    </row>
    <row r="1739" spans="1:25" s="1130" customFormat="1" ht="39.6" hidden="1">
      <c r="A1739" s="1146"/>
      <c r="B1739" s="1147"/>
      <c r="C1739" s="1375" t="s">
        <v>3363</v>
      </c>
      <c r="D1739" s="1376"/>
      <c r="E1739" s="1376"/>
      <c r="F1739" s="1376"/>
      <c r="G1739" s="1376"/>
      <c r="H1739" s="1376"/>
      <c r="I1739" s="1376"/>
      <c r="J1739" s="1376"/>
      <c r="K1739" s="1376"/>
      <c r="L1739" s="1376"/>
      <c r="M1739" s="1376"/>
      <c r="N1739" s="1377"/>
      <c r="O1739" s="1131" t="s">
        <v>3364</v>
      </c>
      <c r="P1739" s="323"/>
      <c r="Q1739" s="323"/>
      <c r="R1739" s="326"/>
      <c r="S1739" s="326"/>
      <c r="T1739" s="327"/>
      <c r="U1739" s="326"/>
      <c r="V1739" s="328"/>
      <c r="W1739" s="323"/>
      <c r="X1739" s="323"/>
      <c r="Y1739" s="323"/>
    </row>
    <row r="1740" spans="1:25" s="1130" customFormat="1" ht="12.75" hidden="1" customHeight="1">
      <c r="A1740" s="1148" t="s">
        <v>1894</v>
      </c>
      <c r="B1740" s="1149"/>
      <c r="C1740" s="1150">
        <v>2.5</v>
      </c>
      <c r="D1740" s="1151">
        <v>2.7</v>
      </c>
      <c r="E1740" s="1151">
        <v>4.9000000000000004</v>
      </c>
      <c r="F1740" s="1151">
        <v>8.5</v>
      </c>
      <c r="G1740" s="1151">
        <v>12.8</v>
      </c>
      <c r="H1740" s="1151">
        <v>15.5</v>
      </c>
      <c r="I1740" s="1151">
        <v>17.8</v>
      </c>
      <c r="J1740" s="1151">
        <v>17.8</v>
      </c>
      <c r="K1740" s="1151">
        <v>14.1</v>
      </c>
      <c r="L1740" s="1151">
        <v>9.8000000000000007</v>
      </c>
      <c r="M1740" s="1151">
        <v>5.0999999999999996</v>
      </c>
      <c r="N1740" s="1152">
        <v>2.2999999999999998</v>
      </c>
      <c r="O1740" s="1153">
        <v>9.5</v>
      </c>
      <c r="P1740" s="323"/>
      <c r="Q1740" s="323"/>
      <c r="R1740" s="326"/>
      <c r="S1740" s="326"/>
      <c r="T1740" s="327"/>
      <c r="U1740" s="326"/>
      <c r="V1740" s="328"/>
      <c r="W1740" s="323"/>
      <c r="X1740" s="323"/>
      <c r="Y1740" s="323"/>
    </row>
    <row r="1741" spans="1:25" s="1130" customFormat="1" ht="13.2" hidden="1">
      <c r="A1741" s="1154"/>
      <c r="B1741" s="1154"/>
      <c r="C1741" s="1155"/>
      <c r="D1741" s="1155"/>
      <c r="E1741" s="1155"/>
      <c r="F1741" s="1155"/>
      <c r="G1741" s="1155"/>
      <c r="H1741" s="1155"/>
      <c r="I1741" s="1155"/>
      <c r="J1741" s="1155"/>
      <c r="K1741" s="1155"/>
      <c r="L1741" s="1155"/>
      <c r="M1741" s="1155"/>
      <c r="N1741" s="1155"/>
      <c r="O1741" s="1155"/>
      <c r="P1741" s="1155"/>
      <c r="Q1741" s="1129"/>
    </row>
    <row r="1742" spans="1:25" s="1130" customFormat="1" ht="13.2" hidden="1">
      <c r="A1742" s="1154"/>
      <c r="B1742" s="1154"/>
      <c r="C1742" s="1155"/>
      <c r="D1742" s="1155"/>
      <c r="E1742" s="1155"/>
      <c r="F1742" s="1155"/>
      <c r="G1742" s="1155"/>
      <c r="H1742" s="1155"/>
      <c r="I1742" s="1155"/>
      <c r="J1742" s="1155"/>
      <c r="K1742" s="1155"/>
      <c r="L1742" s="1155"/>
      <c r="M1742" s="1155"/>
      <c r="N1742" s="1155"/>
      <c r="O1742" s="1155"/>
      <c r="P1742" s="1155"/>
      <c r="Q1742" s="1129"/>
    </row>
    <row r="1743" spans="1:25" s="1130" customFormat="1" ht="13.2" hidden="1">
      <c r="A1743" s="1129" t="s">
        <v>3369</v>
      </c>
      <c r="Q1743" s="1129"/>
    </row>
    <row r="1744" spans="1:25" s="1130" customFormat="1" ht="13.2" hidden="1">
      <c r="Q1744" s="1129"/>
    </row>
    <row r="1745" spans="1:25" s="1130" customFormat="1" ht="66" hidden="1">
      <c r="A1745" s="1314" t="s">
        <v>3370</v>
      </c>
      <c r="B1745" s="1315"/>
      <c r="C1745" s="1316" t="s">
        <v>3355</v>
      </c>
      <c r="D1745" s="1317"/>
      <c r="E1745" s="1317"/>
      <c r="F1745" s="1317"/>
      <c r="G1745" s="1317"/>
      <c r="H1745" s="1317"/>
      <c r="I1745" s="1317"/>
      <c r="J1745" s="1317"/>
      <c r="K1745" s="1317"/>
      <c r="L1745" s="1317"/>
      <c r="M1745" s="1317"/>
      <c r="N1745" s="1318"/>
      <c r="O1745" s="1131" t="s">
        <v>3356</v>
      </c>
      <c r="P1745" s="323"/>
      <c r="Q1745" s="1156">
        <v>4</v>
      </c>
      <c r="R1745" s="326"/>
      <c r="S1745" s="326"/>
      <c r="T1745" s="327"/>
      <c r="U1745" s="326"/>
      <c r="V1745" s="328"/>
      <c r="W1745" s="323"/>
      <c r="X1745" s="323"/>
      <c r="Y1745" s="323"/>
    </row>
    <row r="1746" spans="1:25" s="1130" customFormat="1" ht="13.2" hidden="1">
      <c r="A1746" s="1132" t="s">
        <v>77</v>
      </c>
      <c r="B1746" s="1133" t="s">
        <v>1795</v>
      </c>
      <c r="C1746" s="1134" t="s">
        <v>116</v>
      </c>
      <c r="D1746" s="1135" t="s">
        <v>117</v>
      </c>
      <c r="E1746" s="1135" t="s">
        <v>118</v>
      </c>
      <c r="F1746" s="1135" t="s">
        <v>119</v>
      </c>
      <c r="G1746" s="1135" t="s">
        <v>120</v>
      </c>
      <c r="H1746" s="1135" t="s">
        <v>121</v>
      </c>
      <c r="I1746" s="1135" t="s">
        <v>122</v>
      </c>
      <c r="J1746" s="1135" t="s">
        <v>123</v>
      </c>
      <c r="K1746" s="1135" t="s">
        <v>124</v>
      </c>
      <c r="L1746" s="1135" t="s">
        <v>125</v>
      </c>
      <c r="M1746" s="1135" t="s">
        <v>126</v>
      </c>
      <c r="N1746" s="1136" t="s">
        <v>127</v>
      </c>
      <c r="O1746" s="1137" t="s">
        <v>3357</v>
      </c>
      <c r="P1746" s="323"/>
      <c r="Q1746" s="323"/>
      <c r="R1746" s="326"/>
      <c r="S1746" s="326"/>
      <c r="T1746" s="327"/>
      <c r="U1746" s="326"/>
      <c r="V1746" s="328"/>
      <c r="W1746" s="323"/>
      <c r="X1746" s="323"/>
      <c r="Y1746" s="323"/>
    </row>
    <row r="1747" spans="1:25" s="1130" customFormat="1" ht="13.2" hidden="1">
      <c r="A1747" s="1138" t="s">
        <v>3358</v>
      </c>
      <c r="B1747" s="1137" t="s">
        <v>14</v>
      </c>
      <c r="C1747" s="1134">
        <v>29</v>
      </c>
      <c r="D1747" s="1135">
        <v>44</v>
      </c>
      <c r="E1747" s="1135">
        <v>97</v>
      </c>
      <c r="F1747" s="1135">
        <v>189</v>
      </c>
      <c r="G1747" s="1135">
        <v>221</v>
      </c>
      <c r="H1747" s="1135">
        <v>241</v>
      </c>
      <c r="I1747" s="1135">
        <v>210</v>
      </c>
      <c r="J1747" s="1135">
        <v>180</v>
      </c>
      <c r="K1747" s="1135">
        <v>127</v>
      </c>
      <c r="L1747" s="1135">
        <v>77</v>
      </c>
      <c r="M1747" s="1135">
        <v>31</v>
      </c>
      <c r="N1747" s="1136">
        <v>17</v>
      </c>
      <c r="O1747" s="1139">
        <v>1072</v>
      </c>
      <c r="P1747" s="323"/>
      <c r="Q1747" s="323"/>
      <c r="R1747" s="326"/>
      <c r="S1747" s="326"/>
      <c r="T1747" s="327"/>
      <c r="U1747" s="326"/>
      <c r="V1747" s="328"/>
      <c r="W1747" s="323"/>
      <c r="X1747" s="323"/>
      <c r="Y1747" s="323"/>
    </row>
    <row r="1748" spans="1:25" s="1130" customFormat="1" ht="13.2" hidden="1">
      <c r="A1748" s="1319" t="s">
        <v>11</v>
      </c>
      <c r="B1748" s="1140" t="s">
        <v>15</v>
      </c>
      <c r="C1748" s="1141">
        <v>50</v>
      </c>
      <c r="D1748" s="1142">
        <v>55</v>
      </c>
      <c r="E1748" s="1142">
        <v>121</v>
      </c>
      <c r="F1748" s="1142">
        <v>217</v>
      </c>
      <c r="G1748" s="1142">
        <v>230</v>
      </c>
      <c r="H1748" s="1142">
        <v>241</v>
      </c>
      <c r="I1748" s="1142">
        <v>208</v>
      </c>
      <c r="J1748" s="1142">
        <v>199</v>
      </c>
      <c r="K1748" s="1142">
        <v>157</v>
      </c>
      <c r="L1748" s="1142">
        <v>110</v>
      </c>
      <c r="M1748" s="1142">
        <v>41</v>
      </c>
      <c r="N1748" s="1143">
        <v>26</v>
      </c>
      <c r="O1748" s="1144">
        <v>1211</v>
      </c>
      <c r="P1748" s="323"/>
      <c r="Q1748" s="323"/>
      <c r="R1748" s="326"/>
      <c r="S1748" s="326"/>
      <c r="T1748" s="327"/>
      <c r="U1748" s="326"/>
      <c r="V1748" s="328"/>
      <c r="W1748" s="323"/>
      <c r="X1748" s="323"/>
      <c r="Y1748" s="323"/>
    </row>
    <row r="1749" spans="1:25" s="1130" customFormat="1" ht="13.2" hidden="1">
      <c r="A1749" s="1320"/>
      <c r="B1749" s="1140" t="s">
        <v>16</v>
      </c>
      <c r="C1749" s="1141">
        <v>57</v>
      </c>
      <c r="D1749" s="1142">
        <v>56</v>
      </c>
      <c r="E1749" s="1142">
        <v>124</v>
      </c>
      <c r="F1749" s="1142">
        <v>214</v>
      </c>
      <c r="G1749" s="1142">
        <v>218</v>
      </c>
      <c r="H1749" s="1142">
        <v>224</v>
      </c>
      <c r="I1749" s="1142">
        <v>194</v>
      </c>
      <c r="J1749" s="1142">
        <v>193</v>
      </c>
      <c r="K1749" s="1142">
        <v>160</v>
      </c>
      <c r="L1749" s="1142">
        <v>119</v>
      </c>
      <c r="M1749" s="1142">
        <v>44</v>
      </c>
      <c r="N1749" s="1143">
        <v>29</v>
      </c>
      <c r="O1749" s="1144">
        <v>1195</v>
      </c>
      <c r="P1749" s="323"/>
      <c r="Q1749" s="323"/>
      <c r="R1749" s="326"/>
      <c r="S1749" s="326"/>
      <c r="T1749" s="327"/>
      <c r="U1749" s="326"/>
      <c r="V1749" s="328"/>
      <c r="W1749" s="323"/>
      <c r="X1749" s="323"/>
      <c r="Y1749" s="323"/>
    </row>
    <row r="1750" spans="1:25" s="1130" customFormat="1" ht="13.2" hidden="1">
      <c r="A1750" s="1320"/>
      <c r="B1750" s="1140" t="s">
        <v>17</v>
      </c>
      <c r="C1750" s="1141">
        <v>61</v>
      </c>
      <c r="D1750" s="1142">
        <v>55</v>
      </c>
      <c r="E1750" s="1142">
        <v>121</v>
      </c>
      <c r="F1750" s="1142">
        <v>201</v>
      </c>
      <c r="G1750" s="1142">
        <v>196</v>
      </c>
      <c r="H1750" s="1142">
        <v>197</v>
      </c>
      <c r="I1750" s="1142">
        <v>172</v>
      </c>
      <c r="J1750" s="1142">
        <v>178</v>
      </c>
      <c r="K1750" s="1142">
        <v>155</v>
      </c>
      <c r="L1750" s="1142">
        <v>121</v>
      </c>
      <c r="M1750" s="1142">
        <v>44</v>
      </c>
      <c r="N1750" s="1143">
        <v>31</v>
      </c>
      <c r="O1750" s="1144">
        <v>1122</v>
      </c>
      <c r="P1750" s="323"/>
      <c r="Q1750" s="323"/>
      <c r="R1750" s="326"/>
      <c r="S1750" s="326"/>
      <c r="T1750" s="327"/>
      <c r="U1750" s="326"/>
      <c r="V1750" s="328"/>
      <c r="W1750" s="323"/>
      <c r="X1750" s="323"/>
      <c r="Y1750" s="323"/>
    </row>
    <row r="1751" spans="1:25" s="1130" customFormat="1" ht="13.2" hidden="1">
      <c r="A1751" s="1321"/>
      <c r="B1751" s="1137" t="s">
        <v>18</v>
      </c>
      <c r="C1751" s="1134">
        <v>59</v>
      </c>
      <c r="D1751" s="1135">
        <v>47</v>
      </c>
      <c r="E1751" s="1135">
        <v>98</v>
      </c>
      <c r="F1751" s="1135">
        <v>147</v>
      </c>
      <c r="G1751" s="1135">
        <v>132</v>
      </c>
      <c r="H1751" s="1135">
        <v>124</v>
      </c>
      <c r="I1751" s="1135">
        <v>113</v>
      </c>
      <c r="J1751" s="1135">
        <v>127</v>
      </c>
      <c r="K1751" s="1135">
        <v>123</v>
      </c>
      <c r="L1751" s="1135">
        <v>106</v>
      </c>
      <c r="M1751" s="1135">
        <v>39</v>
      </c>
      <c r="N1751" s="1136">
        <v>29</v>
      </c>
      <c r="O1751" s="1145">
        <v>838</v>
      </c>
      <c r="P1751" s="323"/>
      <c r="Q1751" s="323"/>
      <c r="R1751" s="326"/>
      <c r="S1751" s="326"/>
      <c r="T1751" s="327"/>
      <c r="U1751" s="326"/>
      <c r="V1751" s="328"/>
      <c r="W1751" s="323"/>
      <c r="X1751" s="323"/>
      <c r="Y1751" s="323"/>
    </row>
    <row r="1752" spans="1:25" s="1130" customFormat="1" ht="13.2" hidden="1">
      <c r="A1752" s="1319" t="s">
        <v>3359</v>
      </c>
      <c r="B1752" s="1140" t="s">
        <v>15</v>
      </c>
      <c r="C1752" s="1141">
        <v>46</v>
      </c>
      <c r="D1752" s="1142">
        <v>52</v>
      </c>
      <c r="E1752" s="1142">
        <v>114</v>
      </c>
      <c r="F1752" s="1142">
        <v>214</v>
      </c>
      <c r="G1752" s="1142">
        <v>227</v>
      </c>
      <c r="H1752" s="1142">
        <v>242</v>
      </c>
      <c r="I1752" s="1142">
        <v>212</v>
      </c>
      <c r="J1752" s="1142">
        <v>194</v>
      </c>
      <c r="K1752" s="1142">
        <v>147</v>
      </c>
      <c r="L1752" s="1142">
        <v>102</v>
      </c>
      <c r="M1752" s="1142">
        <v>38</v>
      </c>
      <c r="N1752" s="1143">
        <v>23</v>
      </c>
      <c r="O1752" s="1144">
        <v>1179</v>
      </c>
      <c r="P1752" s="323"/>
      <c r="Q1752" s="323"/>
      <c r="R1752" s="326"/>
      <c r="S1752" s="326"/>
      <c r="T1752" s="327"/>
      <c r="U1752" s="326"/>
      <c r="V1752" s="328"/>
      <c r="W1752" s="323"/>
      <c r="X1752" s="323"/>
      <c r="Y1752" s="323"/>
    </row>
    <row r="1753" spans="1:25" s="1130" customFormat="1" ht="13.2" hidden="1">
      <c r="A1753" s="1320"/>
      <c r="B1753" s="1140" t="s">
        <v>16</v>
      </c>
      <c r="C1753" s="1141">
        <v>51</v>
      </c>
      <c r="D1753" s="1142">
        <v>53</v>
      </c>
      <c r="E1753" s="1142">
        <v>116</v>
      </c>
      <c r="F1753" s="1142">
        <v>212</v>
      </c>
      <c r="G1753" s="1142">
        <v>217</v>
      </c>
      <c r="H1753" s="1142">
        <v>229</v>
      </c>
      <c r="I1753" s="1142">
        <v>201</v>
      </c>
      <c r="J1753" s="1142">
        <v>188</v>
      </c>
      <c r="K1753" s="1142">
        <v>148</v>
      </c>
      <c r="L1753" s="1142">
        <v>107</v>
      </c>
      <c r="M1753" s="1142">
        <v>39</v>
      </c>
      <c r="N1753" s="1143">
        <v>25</v>
      </c>
      <c r="O1753" s="1144">
        <v>1159</v>
      </c>
      <c r="P1753" s="323"/>
      <c r="Q1753" s="323"/>
      <c r="R1753" s="326"/>
      <c r="S1753" s="326"/>
      <c r="T1753" s="327"/>
      <c r="U1753" s="326"/>
      <c r="V1753" s="328"/>
      <c r="W1753" s="323"/>
      <c r="X1753" s="323"/>
      <c r="Y1753" s="323"/>
    </row>
    <row r="1754" spans="1:25" s="1130" customFormat="1" ht="13.2" hidden="1">
      <c r="A1754" s="1320"/>
      <c r="B1754" s="1140" t="s">
        <v>17</v>
      </c>
      <c r="C1754" s="1141">
        <v>54</v>
      </c>
      <c r="D1754" s="1142">
        <v>51</v>
      </c>
      <c r="E1754" s="1142">
        <v>112</v>
      </c>
      <c r="F1754" s="1142">
        <v>201</v>
      </c>
      <c r="G1754" s="1142">
        <v>198</v>
      </c>
      <c r="H1754" s="1142">
        <v>207</v>
      </c>
      <c r="I1754" s="1142">
        <v>183</v>
      </c>
      <c r="J1754" s="1142">
        <v>175</v>
      </c>
      <c r="K1754" s="1142">
        <v>141</v>
      </c>
      <c r="L1754" s="1142">
        <v>107</v>
      </c>
      <c r="M1754" s="1142">
        <v>38</v>
      </c>
      <c r="N1754" s="1143">
        <v>26</v>
      </c>
      <c r="O1754" s="1144">
        <v>1092</v>
      </c>
      <c r="P1754" s="323"/>
      <c r="Q1754" s="323"/>
      <c r="R1754" s="326"/>
      <c r="S1754" s="326"/>
      <c r="T1754" s="327"/>
      <c r="U1754" s="326"/>
      <c r="V1754" s="328"/>
      <c r="W1754" s="323"/>
      <c r="X1754" s="323"/>
      <c r="Y1754" s="323"/>
    </row>
    <row r="1755" spans="1:25" s="1130" customFormat="1" ht="13.2" hidden="1">
      <c r="A1755" s="1321"/>
      <c r="B1755" s="1137" t="s">
        <v>18</v>
      </c>
      <c r="C1755" s="1134">
        <v>50</v>
      </c>
      <c r="D1755" s="1135">
        <v>42</v>
      </c>
      <c r="E1755" s="1135">
        <v>90</v>
      </c>
      <c r="F1755" s="1135">
        <v>156</v>
      </c>
      <c r="G1755" s="1135">
        <v>143</v>
      </c>
      <c r="H1755" s="1135">
        <v>146</v>
      </c>
      <c r="I1755" s="1135">
        <v>132</v>
      </c>
      <c r="J1755" s="1135">
        <v>130</v>
      </c>
      <c r="K1755" s="1135">
        <v>111</v>
      </c>
      <c r="L1755" s="1135">
        <v>91</v>
      </c>
      <c r="M1755" s="1135">
        <v>32</v>
      </c>
      <c r="N1755" s="1136">
        <v>23</v>
      </c>
      <c r="O1755" s="1145">
        <v>841</v>
      </c>
      <c r="P1755" s="323"/>
      <c r="Q1755" s="323"/>
      <c r="R1755" s="326"/>
      <c r="S1755" s="326"/>
      <c r="T1755" s="327"/>
      <c r="U1755" s="326"/>
      <c r="V1755" s="328"/>
      <c r="W1755" s="323"/>
      <c r="X1755" s="323"/>
      <c r="Y1755" s="323"/>
    </row>
    <row r="1756" spans="1:25" s="1130" customFormat="1" ht="13.2" hidden="1">
      <c r="A1756" s="1319" t="s">
        <v>3360</v>
      </c>
      <c r="B1756" s="1140" t="s">
        <v>15</v>
      </c>
      <c r="C1756" s="1141">
        <v>40</v>
      </c>
      <c r="D1756" s="1142">
        <v>49</v>
      </c>
      <c r="E1756" s="1142">
        <v>110</v>
      </c>
      <c r="F1756" s="1142">
        <v>201</v>
      </c>
      <c r="G1756" s="1142">
        <v>222</v>
      </c>
      <c r="H1756" s="1142">
        <v>234</v>
      </c>
      <c r="I1756" s="1142">
        <v>201</v>
      </c>
      <c r="J1756" s="1142">
        <v>188</v>
      </c>
      <c r="K1756" s="1142">
        <v>145</v>
      </c>
      <c r="L1756" s="1142">
        <v>96</v>
      </c>
      <c r="M1756" s="1142">
        <v>37</v>
      </c>
      <c r="N1756" s="1143">
        <v>23</v>
      </c>
      <c r="O1756" s="1144">
        <v>1133</v>
      </c>
      <c r="P1756" s="323"/>
      <c r="Q1756" s="323"/>
      <c r="R1756" s="326"/>
      <c r="S1756" s="326"/>
      <c r="T1756" s="327"/>
      <c r="U1756" s="326"/>
      <c r="V1756" s="328"/>
      <c r="W1756" s="323"/>
      <c r="X1756" s="323"/>
      <c r="Y1756" s="323"/>
    </row>
    <row r="1757" spans="1:25" s="1130" customFormat="1" ht="13.2" hidden="1">
      <c r="A1757" s="1320"/>
      <c r="B1757" s="1140" t="s">
        <v>16</v>
      </c>
      <c r="C1757" s="1141">
        <v>43</v>
      </c>
      <c r="D1757" s="1142">
        <v>48</v>
      </c>
      <c r="E1757" s="1142">
        <v>110</v>
      </c>
      <c r="F1757" s="1142">
        <v>195</v>
      </c>
      <c r="G1757" s="1142">
        <v>209</v>
      </c>
      <c r="H1757" s="1142">
        <v>218</v>
      </c>
      <c r="I1757" s="1142">
        <v>188</v>
      </c>
      <c r="J1757" s="1142">
        <v>181</v>
      </c>
      <c r="K1757" s="1142">
        <v>145</v>
      </c>
      <c r="L1757" s="1142">
        <v>99</v>
      </c>
      <c r="M1757" s="1142">
        <v>38</v>
      </c>
      <c r="N1757" s="1143">
        <v>24</v>
      </c>
      <c r="O1757" s="1144">
        <v>1098</v>
      </c>
      <c r="P1757" s="323"/>
      <c r="Q1757" s="323"/>
      <c r="R1757" s="326"/>
      <c r="S1757" s="326"/>
      <c r="T1757" s="327"/>
      <c r="U1757" s="326"/>
      <c r="V1757" s="328"/>
      <c r="W1757" s="323"/>
      <c r="X1757" s="323"/>
      <c r="Y1757" s="323"/>
    </row>
    <row r="1758" spans="1:25" s="1130" customFormat="1" ht="13.2" hidden="1">
      <c r="A1758" s="1320"/>
      <c r="B1758" s="1140" t="s">
        <v>17</v>
      </c>
      <c r="C1758" s="1141">
        <v>44</v>
      </c>
      <c r="D1758" s="1142">
        <v>46</v>
      </c>
      <c r="E1758" s="1142">
        <v>105</v>
      </c>
      <c r="F1758" s="1142">
        <v>181</v>
      </c>
      <c r="G1758" s="1142">
        <v>190</v>
      </c>
      <c r="H1758" s="1142">
        <v>195</v>
      </c>
      <c r="I1758" s="1142">
        <v>169</v>
      </c>
      <c r="J1758" s="1142">
        <v>167</v>
      </c>
      <c r="K1758" s="1142">
        <v>138</v>
      </c>
      <c r="L1758" s="1142">
        <v>97</v>
      </c>
      <c r="M1758" s="1142">
        <v>37</v>
      </c>
      <c r="N1758" s="1143">
        <v>25</v>
      </c>
      <c r="O1758" s="1144">
        <v>1021</v>
      </c>
      <c r="P1758" s="323"/>
      <c r="Q1758" s="323"/>
      <c r="R1758" s="326"/>
      <c r="S1758" s="326"/>
      <c r="T1758" s="327"/>
      <c r="U1758" s="326"/>
      <c r="V1758" s="328"/>
      <c r="W1758" s="323"/>
      <c r="X1758" s="323"/>
      <c r="Y1758" s="323"/>
    </row>
    <row r="1759" spans="1:25" s="1130" customFormat="1" ht="13.2" hidden="1">
      <c r="A1759" s="1321"/>
      <c r="B1759" s="1137" t="s">
        <v>18</v>
      </c>
      <c r="C1759" s="1134">
        <v>40</v>
      </c>
      <c r="D1759" s="1135">
        <v>36</v>
      </c>
      <c r="E1759" s="1135">
        <v>83</v>
      </c>
      <c r="F1759" s="1135">
        <v>136</v>
      </c>
      <c r="G1759" s="1135">
        <v>137</v>
      </c>
      <c r="H1759" s="1135">
        <v>135</v>
      </c>
      <c r="I1759" s="1135">
        <v>120</v>
      </c>
      <c r="J1759" s="1135">
        <v>123</v>
      </c>
      <c r="K1759" s="1135">
        <v>108</v>
      </c>
      <c r="L1759" s="1135">
        <v>80</v>
      </c>
      <c r="M1759" s="1135">
        <v>31</v>
      </c>
      <c r="N1759" s="1136">
        <v>22</v>
      </c>
      <c r="O1759" s="1145">
        <v>771</v>
      </c>
      <c r="P1759" s="323"/>
      <c r="Q1759" s="323"/>
      <c r="R1759" s="326"/>
      <c r="S1759" s="326"/>
      <c r="T1759" s="327"/>
      <c r="U1759" s="326"/>
      <c r="V1759" s="328"/>
      <c r="W1759" s="323"/>
      <c r="X1759" s="323"/>
      <c r="Y1759" s="323"/>
    </row>
    <row r="1760" spans="1:25" s="1130" customFormat="1" ht="13.2" hidden="1">
      <c r="A1760" s="1319" t="s">
        <v>980</v>
      </c>
      <c r="B1760" s="1140" t="s">
        <v>15</v>
      </c>
      <c r="C1760" s="1141">
        <v>31</v>
      </c>
      <c r="D1760" s="1142">
        <v>43</v>
      </c>
      <c r="E1760" s="1142">
        <v>95</v>
      </c>
      <c r="F1760" s="1142">
        <v>189</v>
      </c>
      <c r="G1760" s="1142">
        <v>211</v>
      </c>
      <c r="H1760" s="1142">
        <v>231</v>
      </c>
      <c r="I1760" s="1142">
        <v>205</v>
      </c>
      <c r="J1760" s="1142">
        <v>173</v>
      </c>
      <c r="K1760" s="1142">
        <v>122</v>
      </c>
      <c r="L1760" s="1142">
        <v>77</v>
      </c>
      <c r="M1760" s="1142">
        <v>30</v>
      </c>
      <c r="N1760" s="1143">
        <v>17</v>
      </c>
      <c r="O1760" s="1144">
        <v>1042</v>
      </c>
      <c r="P1760" s="323"/>
      <c r="Q1760" s="323"/>
      <c r="R1760" s="326"/>
      <c r="S1760" s="326"/>
      <c r="T1760" s="327"/>
      <c r="U1760" s="326"/>
      <c r="V1760" s="328"/>
      <c r="W1760" s="323"/>
      <c r="X1760" s="323"/>
      <c r="Y1760" s="323"/>
    </row>
    <row r="1761" spans="1:25" s="1130" customFormat="1" ht="13.2" hidden="1">
      <c r="A1761" s="1320"/>
      <c r="B1761" s="1140" t="s">
        <v>16</v>
      </c>
      <c r="C1761" s="1141">
        <v>31</v>
      </c>
      <c r="D1761" s="1142">
        <v>41</v>
      </c>
      <c r="E1761" s="1142">
        <v>91</v>
      </c>
      <c r="F1761" s="1142">
        <v>181</v>
      </c>
      <c r="G1761" s="1142">
        <v>198</v>
      </c>
      <c r="H1761" s="1142">
        <v>217</v>
      </c>
      <c r="I1761" s="1142">
        <v>194</v>
      </c>
      <c r="J1761" s="1142">
        <v>163</v>
      </c>
      <c r="K1761" s="1142">
        <v>115</v>
      </c>
      <c r="L1761" s="1142">
        <v>74</v>
      </c>
      <c r="M1761" s="1142">
        <v>28</v>
      </c>
      <c r="N1761" s="1143">
        <v>16</v>
      </c>
      <c r="O1761" s="1144">
        <v>988</v>
      </c>
      <c r="P1761" s="323"/>
      <c r="Q1761" s="323"/>
      <c r="R1761" s="326"/>
      <c r="S1761" s="326"/>
      <c r="T1761" s="327"/>
      <c r="U1761" s="326"/>
      <c r="V1761" s="328"/>
      <c r="W1761" s="323"/>
      <c r="X1761" s="323"/>
      <c r="Y1761" s="323"/>
    </row>
    <row r="1762" spans="1:25" s="1130" customFormat="1" ht="13.2" hidden="1">
      <c r="A1762" s="1320"/>
      <c r="B1762" s="1140" t="s">
        <v>17</v>
      </c>
      <c r="C1762" s="1141">
        <v>30</v>
      </c>
      <c r="D1762" s="1142">
        <v>38</v>
      </c>
      <c r="E1762" s="1142">
        <v>85</v>
      </c>
      <c r="F1762" s="1142">
        <v>170</v>
      </c>
      <c r="G1762" s="1142">
        <v>180</v>
      </c>
      <c r="H1762" s="1142">
        <v>198</v>
      </c>
      <c r="I1762" s="1142">
        <v>179</v>
      </c>
      <c r="J1762" s="1142">
        <v>150</v>
      </c>
      <c r="K1762" s="1142">
        <v>106</v>
      </c>
      <c r="L1762" s="1142">
        <v>70</v>
      </c>
      <c r="M1762" s="1142">
        <v>26</v>
      </c>
      <c r="N1762" s="1143">
        <v>15</v>
      </c>
      <c r="O1762" s="1144">
        <v>912</v>
      </c>
      <c r="P1762" s="323"/>
      <c r="Q1762" s="323"/>
      <c r="R1762" s="326"/>
      <c r="S1762" s="326"/>
      <c r="T1762" s="327"/>
      <c r="U1762" s="326"/>
      <c r="V1762" s="328"/>
      <c r="W1762" s="323"/>
      <c r="X1762" s="323"/>
      <c r="Y1762" s="323"/>
    </row>
    <row r="1763" spans="1:25" s="1130" customFormat="1" ht="13.2" hidden="1">
      <c r="A1763" s="1321"/>
      <c r="B1763" s="1137" t="s">
        <v>18</v>
      </c>
      <c r="C1763" s="1134">
        <v>25</v>
      </c>
      <c r="D1763" s="1135">
        <v>29</v>
      </c>
      <c r="E1763" s="1135">
        <v>68</v>
      </c>
      <c r="F1763" s="1135">
        <v>134</v>
      </c>
      <c r="G1763" s="1135">
        <v>137</v>
      </c>
      <c r="H1763" s="1135">
        <v>150</v>
      </c>
      <c r="I1763" s="1135">
        <v>138</v>
      </c>
      <c r="J1763" s="1135">
        <v>115</v>
      </c>
      <c r="K1763" s="1135">
        <v>83</v>
      </c>
      <c r="L1763" s="1135">
        <v>55</v>
      </c>
      <c r="M1763" s="1135">
        <v>20</v>
      </c>
      <c r="N1763" s="1136">
        <v>12</v>
      </c>
      <c r="O1763" s="1145">
        <v>707</v>
      </c>
      <c r="P1763" s="323"/>
      <c r="Q1763" s="323"/>
      <c r="R1763" s="326"/>
      <c r="S1763" s="326"/>
      <c r="T1763" s="327"/>
      <c r="U1763" s="326"/>
      <c r="V1763" s="328"/>
      <c r="W1763" s="323"/>
      <c r="X1763" s="323"/>
      <c r="Y1763" s="323"/>
    </row>
    <row r="1764" spans="1:25" s="1130" customFormat="1" ht="13.2" hidden="1">
      <c r="A1764" s="1319" t="s">
        <v>981</v>
      </c>
      <c r="B1764" s="1140" t="s">
        <v>15</v>
      </c>
      <c r="C1764" s="1141">
        <v>25</v>
      </c>
      <c r="D1764" s="1142">
        <v>40</v>
      </c>
      <c r="E1764" s="1142">
        <v>90</v>
      </c>
      <c r="F1764" s="1142">
        <v>172</v>
      </c>
      <c r="G1764" s="1142">
        <v>202</v>
      </c>
      <c r="H1764" s="1142">
        <v>219</v>
      </c>
      <c r="I1764" s="1142">
        <v>188</v>
      </c>
      <c r="J1764" s="1142">
        <v>165</v>
      </c>
      <c r="K1764" s="1142">
        <v>120</v>
      </c>
      <c r="L1764" s="1142">
        <v>70</v>
      </c>
      <c r="M1764" s="1142">
        <v>29</v>
      </c>
      <c r="N1764" s="1143">
        <v>16</v>
      </c>
      <c r="O1764" s="1144">
        <v>978</v>
      </c>
      <c r="P1764" s="323"/>
      <c r="Q1764" s="323"/>
      <c r="R1764" s="326"/>
      <c r="S1764" s="326"/>
      <c r="T1764" s="327"/>
      <c r="U1764" s="326"/>
      <c r="V1764" s="328"/>
      <c r="W1764" s="323"/>
      <c r="X1764" s="323"/>
      <c r="Y1764" s="323"/>
    </row>
    <row r="1765" spans="1:25" s="1130" customFormat="1" ht="13.2" hidden="1">
      <c r="A1765" s="1320"/>
      <c r="B1765" s="1140" t="s">
        <v>16</v>
      </c>
      <c r="C1765" s="1141">
        <v>24</v>
      </c>
      <c r="D1765" s="1142">
        <v>36</v>
      </c>
      <c r="E1765" s="1142">
        <v>84</v>
      </c>
      <c r="F1765" s="1142">
        <v>159</v>
      </c>
      <c r="G1765" s="1142">
        <v>187</v>
      </c>
      <c r="H1765" s="1142">
        <v>201</v>
      </c>
      <c r="I1765" s="1142">
        <v>174</v>
      </c>
      <c r="J1765" s="1142">
        <v>153</v>
      </c>
      <c r="K1765" s="1142">
        <v>112</v>
      </c>
      <c r="L1765" s="1142">
        <v>65</v>
      </c>
      <c r="M1765" s="1142">
        <v>27</v>
      </c>
      <c r="N1765" s="1143">
        <v>16</v>
      </c>
      <c r="O1765" s="1144">
        <v>907</v>
      </c>
      <c r="P1765" s="323"/>
      <c r="Q1765" s="323"/>
      <c r="R1765" s="326"/>
      <c r="S1765" s="326"/>
      <c r="T1765" s="327"/>
      <c r="U1765" s="326"/>
      <c r="V1765" s="328"/>
      <c r="W1765" s="323"/>
      <c r="X1765" s="323"/>
      <c r="Y1765" s="323"/>
    </row>
    <row r="1766" spans="1:25" s="1130" customFormat="1" ht="13.2" hidden="1">
      <c r="A1766" s="1320"/>
      <c r="B1766" s="1140" t="s">
        <v>17</v>
      </c>
      <c r="C1766" s="1141">
        <v>22</v>
      </c>
      <c r="D1766" s="1142">
        <v>33</v>
      </c>
      <c r="E1766" s="1142">
        <v>78</v>
      </c>
      <c r="F1766" s="1142">
        <v>146</v>
      </c>
      <c r="G1766" s="1142">
        <v>169</v>
      </c>
      <c r="H1766" s="1142">
        <v>181</v>
      </c>
      <c r="I1766" s="1142">
        <v>157</v>
      </c>
      <c r="J1766" s="1142">
        <v>139</v>
      </c>
      <c r="K1766" s="1142">
        <v>103</v>
      </c>
      <c r="L1766" s="1142">
        <v>60</v>
      </c>
      <c r="M1766" s="1142">
        <v>25</v>
      </c>
      <c r="N1766" s="1143">
        <v>14</v>
      </c>
      <c r="O1766" s="1144">
        <v>824</v>
      </c>
      <c r="P1766" s="323"/>
      <c r="Q1766" s="323"/>
      <c r="R1766" s="326"/>
      <c r="S1766" s="326"/>
      <c r="T1766" s="327"/>
      <c r="U1766" s="326"/>
      <c r="V1766" s="328"/>
      <c r="W1766" s="323"/>
      <c r="X1766" s="323"/>
      <c r="Y1766" s="323"/>
    </row>
    <row r="1767" spans="1:25" s="1130" customFormat="1" ht="13.2" hidden="1">
      <c r="A1767" s="1321"/>
      <c r="B1767" s="1137" t="s">
        <v>18</v>
      </c>
      <c r="C1767" s="1134">
        <v>17</v>
      </c>
      <c r="D1767" s="1135">
        <v>24</v>
      </c>
      <c r="E1767" s="1135">
        <v>60</v>
      </c>
      <c r="F1767" s="1135">
        <v>114</v>
      </c>
      <c r="G1767" s="1135">
        <v>127</v>
      </c>
      <c r="H1767" s="1135">
        <v>136</v>
      </c>
      <c r="I1767" s="1135">
        <v>117</v>
      </c>
      <c r="J1767" s="1135">
        <v>105</v>
      </c>
      <c r="K1767" s="1135">
        <v>79</v>
      </c>
      <c r="L1767" s="1135">
        <v>47</v>
      </c>
      <c r="M1767" s="1135">
        <v>19</v>
      </c>
      <c r="N1767" s="1136">
        <v>11</v>
      </c>
      <c r="O1767" s="1145">
        <v>628</v>
      </c>
      <c r="P1767" s="323"/>
      <c r="Q1767" s="323"/>
      <c r="R1767" s="326"/>
      <c r="S1767" s="326"/>
      <c r="T1767" s="327"/>
      <c r="U1767" s="326"/>
      <c r="V1767" s="328"/>
      <c r="W1767" s="323"/>
      <c r="X1767" s="323"/>
      <c r="Y1767" s="323"/>
    </row>
    <row r="1768" spans="1:25" s="1130" customFormat="1" ht="13.2" hidden="1">
      <c r="A1768" s="1319" t="s">
        <v>3361</v>
      </c>
      <c r="B1768" s="1140" t="s">
        <v>15</v>
      </c>
      <c r="C1768" s="1141">
        <v>16</v>
      </c>
      <c r="D1768" s="1142">
        <v>32</v>
      </c>
      <c r="E1768" s="1142">
        <v>68</v>
      </c>
      <c r="F1768" s="1142">
        <v>139</v>
      </c>
      <c r="G1768" s="1142">
        <v>178</v>
      </c>
      <c r="H1768" s="1142">
        <v>199</v>
      </c>
      <c r="I1768" s="1142">
        <v>173</v>
      </c>
      <c r="J1768" s="1142">
        <v>138</v>
      </c>
      <c r="K1768" s="1142">
        <v>91</v>
      </c>
      <c r="L1768" s="1142">
        <v>47</v>
      </c>
      <c r="M1768" s="1142">
        <v>22</v>
      </c>
      <c r="N1768" s="1143">
        <v>12</v>
      </c>
      <c r="O1768" s="1144">
        <v>817</v>
      </c>
      <c r="P1768" s="323"/>
      <c r="Q1768" s="323"/>
      <c r="R1768" s="326"/>
      <c r="S1768" s="326"/>
      <c r="T1768" s="327"/>
      <c r="U1768" s="326"/>
      <c r="V1768" s="328"/>
      <c r="W1768" s="323"/>
      <c r="X1768" s="323"/>
      <c r="Y1768" s="323"/>
    </row>
    <row r="1769" spans="1:25" s="1130" customFormat="1" ht="13.2" hidden="1">
      <c r="A1769" s="1320"/>
      <c r="B1769" s="1140" t="s">
        <v>16</v>
      </c>
      <c r="C1769" s="1141">
        <v>15</v>
      </c>
      <c r="D1769" s="1142">
        <v>28</v>
      </c>
      <c r="E1769" s="1142">
        <v>58</v>
      </c>
      <c r="F1769" s="1142">
        <v>116</v>
      </c>
      <c r="G1769" s="1142">
        <v>151</v>
      </c>
      <c r="H1769" s="1142">
        <v>169</v>
      </c>
      <c r="I1769" s="1142">
        <v>149</v>
      </c>
      <c r="J1769" s="1142">
        <v>116</v>
      </c>
      <c r="K1769" s="1142">
        <v>77</v>
      </c>
      <c r="L1769" s="1142">
        <v>40</v>
      </c>
      <c r="M1769" s="1142">
        <v>20</v>
      </c>
      <c r="N1769" s="1143">
        <v>11</v>
      </c>
      <c r="O1769" s="1144">
        <v>695</v>
      </c>
      <c r="P1769" s="323"/>
      <c r="Q1769" s="323"/>
      <c r="R1769" s="326"/>
      <c r="S1769" s="326"/>
      <c r="T1769" s="327"/>
      <c r="U1769" s="326"/>
      <c r="V1769" s="328"/>
      <c r="W1769" s="323"/>
      <c r="X1769" s="323"/>
      <c r="Y1769" s="323"/>
    </row>
    <row r="1770" spans="1:25" s="1130" customFormat="1" ht="13.2" hidden="1">
      <c r="A1770" s="1320"/>
      <c r="B1770" s="1140" t="s">
        <v>17</v>
      </c>
      <c r="C1770" s="1141">
        <v>13</v>
      </c>
      <c r="D1770" s="1142">
        <v>25</v>
      </c>
      <c r="E1770" s="1142">
        <v>50</v>
      </c>
      <c r="F1770" s="1142">
        <v>101</v>
      </c>
      <c r="G1770" s="1142">
        <v>130</v>
      </c>
      <c r="H1770" s="1142">
        <v>144</v>
      </c>
      <c r="I1770" s="1142">
        <v>128</v>
      </c>
      <c r="J1770" s="1142">
        <v>99</v>
      </c>
      <c r="K1770" s="1142">
        <v>66</v>
      </c>
      <c r="L1770" s="1142">
        <v>35</v>
      </c>
      <c r="M1770" s="1142">
        <v>18</v>
      </c>
      <c r="N1770" s="1143">
        <v>9</v>
      </c>
      <c r="O1770" s="1144">
        <v>600</v>
      </c>
      <c r="P1770" s="323"/>
      <c r="Q1770" s="323"/>
      <c r="R1770" s="326"/>
      <c r="S1770" s="326"/>
      <c r="T1770" s="327"/>
      <c r="U1770" s="326"/>
      <c r="V1770" s="328"/>
      <c r="W1770" s="323"/>
      <c r="X1770" s="323"/>
      <c r="Y1770" s="323"/>
    </row>
    <row r="1771" spans="1:25" s="1130" customFormat="1" ht="13.2" hidden="1">
      <c r="A1771" s="1321"/>
      <c r="B1771" s="1137" t="s">
        <v>18</v>
      </c>
      <c r="C1771" s="1134">
        <v>11</v>
      </c>
      <c r="D1771" s="1135">
        <v>18</v>
      </c>
      <c r="E1771" s="1135">
        <v>38</v>
      </c>
      <c r="F1771" s="1135">
        <v>78</v>
      </c>
      <c r="G1771" s="1135">
        <v>96</v>
      </c>
      <c r="H1771" s="1135">
        <v>108</v>
      </c>
      <c r="I1771" s="1135">
        <v>95</v>
      </c>
      <c r="J1771" s="1135">
        <v>74</v>
      </c>
      <c r="K1771" s="1135">
        <v>51</v>
      </c>
      <c r="L1771" s="1135">
        <v>28</v>
      </c>
      <c r="M1771" s="1135">
        <v>13</v>
      </c>
      <c r="N1771" s="1136">
        <v>7</v>
      </c>
      <c r="O1771" s="1145">
        <v>451</v>
      </c>
      <c r="P1771" s="323"/>
      <c r="Q1771" s="323"/>
      <c r="R1771" s="326"/>
      <c r="S1771" s="326"/>
      <c r="T1771" s="327"/>
      <c r="U1771" s="326"/>
      <c r="V1771" s="328"/>
      <c r="W1771" s="323"/>
      <c r="X1771" s="323"/>
      <c r="Y1771" s="323"/>
    </row>
    <row r="1772" spans="1:25" s="1130" customFormat="1" ht="13.2" hidden="1">
      <c r="A1772" s="1319" t="s">
        <v>3362</v>
      </c>
      <c r="B1772" s="1140" t="s">
        <v>15</v>
      </c>
      <c r="C1772" s="1141">
        <v>17</v>
      </c>
      <c r="D1772" s="1142">
        <v>34</v>
      </c>
      <c r="E1772" s="1142">
        <v>71</v>
      </c>
      <c r="F1772" s="1142">
        <v>151</v>
      </c>
      <c r="G1772" s="1142">
        <v>185</v>
      </c>
      <c r="H1772" s="1142">
        <v>209</v>
      </c>
      <c r="I1772" s="1142">
        <v>187</v>
      </c>
      <c r="J1772" s="1142">
        <v>144</v>
      </c>
      <c r="K1772" s="1142">
        <v>93</v>
      </c>
      <c r="L1772" s="1142">
        <v>50</v>
      </c>
      <c r="M1772" s="1142">
        <v>22</v>
      </c>
      <c r="N1772" s="1143">
        <v>12</v>
      </c>
      <c r="O1772" s="1144">
        <v>861</v>
      </c>
      <c r="P1772" s="323"/>
      <c r="Q1772" s="323"/>
      <c r="R1772" s="326"/>
      <c r="S1772" s="326"/>
      <c r="T1772" s="327"/>
      <c r="U1772" s="326"/>
      <c r="V1772" s="328"/>
      <c r="W1772" s="323"/>
      <c r="X1772" s="323"/>
      <c r="Y1772" s="323"/>
    </row>
    <row r="1773" spans="1:25" s="1130" customFormat="1" ht="13.2" hidden="1">
      <c r="A1773" s="1320"/>
      <c r="B1773" s="1140" t="s">
        <v>16</v>
      </c>
      <c r="C1773" s="1141">
        <v>15</v>
      </c>
      <c r="D1773" s="1142">
        <v>29</v>
      </c>
      <c r="E1773" s="1142">
        <v>61</v>
      </c>
      <c r="F1773" s="1142">
        <v>131</v>
      </c>
      <c r="G1773" s="1142">
        <v>160</v>
      </c>
      <c r="H1773" s="1142">
        <v>181</v>
      </c>
      <c r="I1773" s="1142">
        <v>167</v>
      </c>
      <c r="J1773" s="1142">
        <v>123</v>
      </c>
      <c r="K1773" s="1142">
        <v>79</v>
      </c>
      <c r="L1773" s="1142">
        <v>42</v>
      </c>
      <c r="M1773" s="1142">
        <v>20</v>
      </c>
      <c r="N1773" s="1143">
        <v>11</v>
      </c>
      <c r="O1773" s="1144">
        <v>746</v>
      </c>
      <c r="P1773" s="323"/>
      <c r="Q1773" s="323"/>
      <c r="R1773" s="326"/>
      <c r="S1773" s="326"/>
      <c r="T1773" s="327"/>
      <c r="U1773" s="326"/>
      <c r="V1773" s="328"/>
      <c r="W1773" s="323"/>
      <c r="X1773" s="323"/>
      <c r="Y1773" s="323"/>
    </row>
    <row r="1774" spans="1:25" s="1130" customFormat="1" ht="13.2" hidden="1">
      <c r="A1774" s="1320"/>
      <c r="B1774" s="1140" t="s">
        <v>17</v>
      </c>
      <c r="C1774" s="1141">
        <v>14</v>
      </c>
      <c r="D1774" s="1142">
        <v>26</v>
      </c>
      <c r="E1774" s="1142">
        <v>54</v>
      </c>
      <c r="F1774" s="1142">
        <v>114</v>
      </c>
      <c r="G1774" s="1142">
        <v>139</v>
      </c>
      <c r="H1774" s="1142">
        <v>157</v>
      </c>
      <c r="I1774" s="1142">
        <v>148</v>
      </c>
      <c r="J1774" s="1142">
        <v>107</v>
      </c>
      <c r="K1774" s="1142">
        <v>68</v>
      </c>
      <c r="L1774" s="1142">
        <v>36</v>
      </c>
      <c r="M1774" s="1142">
        <v>18</v>
      </c>
      <c r="N1774" s="1143">
        <v>9</v>
      </c>
      <c r="O1774" s="1144">
        <v>651</v>
      </c>
      <c r="P1774" s="323"/>
      <c r="Q1774" s="323"/>
      <c r="R1774" s="326"/>
      <c r="S1774" s="326"/>
      <c r="T1774" s="327"/>
      <c r="U1774" s="326"/>
      <c r="V1774" s="328"/>
      <c r="W1774" s="323"/>
      <c r="X1774" s="323"/>
      <c r="Y1774" s="323"/>
    </row>
    <row r="1775" spans="1:25" s="1130" customFormat="1" ht="13.2" hidden="1">
      <c r="A1775" s="1321"/>
      <c r="B1775" s="1137" t="s">
        <v>18</v>
      </c>
      <c r="C1775" s="1134">
        <v>11</v>
      </c>
      <c r="D1775" s="1135">
        <v>19</v>
      </c>
      <c r="E1775" s="1135">
        <v>41</v>
      </c>
      <c r="F1775" s="1135">
        <v>87</v>
      </c>
      <c r="G1775" s="1135">
        <v>104</v>
      </c>
      <c r="H1775" s="1135">
        <v>116</v>
      </c>
      <c r="I1775" s="1135">
        <v>112</v>
      </c>
      <c r="J1775" s="1135">
        <v>81</v>
      </c>
      <c r="K1775" s="1135">
        <v>52</v>
      </c>
      <c r="L1775" s="1135">
        <v>29</v>
      </c>
      <c r="M1775" s="1135">
        <v>13</v>
      </c>
      <c r="N1775" s="1136">
        <v>7</v>
      </c>
      <c r="O1775" s="1145">
        <v>493</v>
      </c>
      <c r="P1775" s="323"/>
      <c r="Q1775" s="323"/>
      <c r="R1775" s="326"/>
      <c r="S1775" s="326"/>
      <c r="T1775" s="327"/>
      <c r="U1775" s="326"/>
      <c r="V1775" s="328"/>
      <c r="W1775" s="323"/>
      <c r="X1775" s="323"/>
      <c r="Y1775" s="323"/>
    </row>
    <row r="1776" spans="1:25" s="1130" customFormat="1" ht="13.2" hidden="1">
      <c r="A1776" s="1319" t="s">
        <v>12</v>
      </c>
      <c r="B1776" s="1140" t="s">
        <v>15</v>
      </c>
      <c r="C1776" s="1141">
        <v>16</v>
      </c>
      <c r="D1776" s="1142">
        <v>29</v>
      </c>
      <c r="E1776" s="1142">
        <v>56</v>
      </c>
      <c r="F1776" s="1142">
        <v>128</v>
      </c>
      <c r="G1776" s="1142">
        <v>172</v>
      </c>
      <c r="H1776" s="1142">
        <v>197</v>
      </c>
      <c r="I1776" s="1142">
        <v>175</v>
      </c>
      <c r="J1776" s="1142">
        <v>129</v>
      </c>
      <c r="K1776" s="1142">
        <v>77</v>
      </c>
      <c r="L1776" s="1142">
        <v>36</v>
      </c>
      <c r="M1776" s="1142">
        <v>21</v>
      </c>
      <c r="N1776" s="1143">
        <v>11</v>
      </c>
      <c r="O1776" s="1144">
        <v>766</v>
      </c>
      <c r="P1776" s="323"/>
      <c r="Q1776" s="323"/>
      <c r="R1776" s="326"/>
      <c r="S1776" s="326"/>
      <c r="T1776" s="327"/>
      <c r="U1776" s="326"/>
      <c r="V1776" s="328"/>
      <c r="W1776" s="323"/>
      <c r="X1776" s="323"/>
      <c r="Y1776" s="323"/>
    </row>
    <row r="1777" spans="1:25" s="1130" customFormat="1" ht="13.2" hidden="1">
      <c r="A1777" s="1320"/>
      <c r="B1777" s="1140" t="s">
        <v>16</v>
      </c>
      <c r="C1777" s="1141">
        <v>15</v>
      </c>
      <c r="D1777" s="1142">
        <v>26</v>
      </c>
      <c r="E1777" s="1142">
        <v>43</v>
      </c>
      <c r="F1777" s="1142">
        <v>90</v>
      </c>
      <c r="G1777" s="1142">
        <v>136</v>
      </c>
      <c r="H1777" s="1142">
        <v>161</v>
      </c>
      <c r="I1777" s="1142">
        <v>145</v>
      </c>
      <c r="J1777" s="1142">
        <v>95</v>
      </c>
      <c r="K1777" s="1142">
        <v>56</v>
      </c>
      <c r="L1777" s="1142">
        <v>33</v>
      </c>
      <c r="M1777" s="1142">
        <v>19</v>
      </c>
      <c r="N1777" s="1143">
        <v>10</v>
      </c>
      <c r="O1777" s="1144">
        <v>608</v>
      </c>
      <c r="P1777" s="323"/>
      <c r="Q1777" s="323"/>
      <c r="R1777" s="326"/>
      <c r="S1777" s="326"/>
      <c r="T1777" s="327"/>
      <c r="U1777" s="326"/>
      <c r="V1777" s="328"/>
      <c r="W1777" s="323"/>
      <c r="X1777" s="323"/>
      <c r="Y1777" s="323"/>
    </row>
    <row r="1778" spans="1:25" s="1130" customFormat="1" ht="13.2" hidden="1">
      <c r="A1778" s="1320"/>
      <c r="B1778" s="1140" t="s">
        <v>17</v>
      </c>
      <c r="C1778" s="1141">
        <v>13</v>
      </c>
      <c r="D1778" s="1142">
        <v>24</v>
      </c>
      <c r="E1778" s="1142">
        <v>39</v>
      </c>
      <c r="F1778" s="1142">
        <v>71</v>
      </c>
      <c r="G1778" s="1142">
        <v>101</v>
      </c>
      <c r="H1778" s="1142">
        <v>119</v>
      </c>
      <c r="I1778" s="1142">
        <v>113</v>
      </c>
      <c r="J1778" s="1142">
        <v>72</v>
      </c>
      <c r="K1778" s="1142">
        <v>50</v>
      </c>
      <c r="L1778" s="1142">
        <v>30</v>
      </c>
      <c r="M1778" s="1142">
        <v>17</v>
      </c>
      <c r="N1778" s="1143">
        <v>9</v>
      </c>
      <c r="O1778" s="1144">
        <v>482</v>
      </c>
      <c r="P1778" s="323"/>
      <c r="Q1778" s="323"/>
      <c r="R1778" s="326"/>
      <c r="S1778" s="326"/>
      <c r="T1778" s="327"/>
      <c r="U1778" s="326"/>
      <c r="V1778" s="328"/>
      <c r="W1778" s="323"/>
      <c r="X1778" s="323"/>
      <c r="Y1778" s="323"/>
    </row>
    <row r="1779" spans="1:25" s="1130" customFormat="1" ht="13.2" hidden="1">
      <c r="A1779" s="1321"/>
      <c r="B1779" s="1137" t="s">
        <v>18</v>
      </c>
      <c r="C1779" s="1134">
        <v>10</v>
      </c>
      <c r="D1779" s="1135">
        <v>18</v>
      </c>
      <c r="E1779" s="1135">
        <v>31</v>
      </c>
      <c r="F1779" s="1135">
        <v>58</v>
      </c>
      <c r="G1779" s="1135">
        <v>75</v>
      </c>
      <c r="H1779" s="1135">
        <v>83</v>
      </c>
      <c r="I1779" s="1135">
        <v>81</v>
      </c>
      <c r="J1779" s="1135">
        <v>57</v>
      </c>
      <c r="K1779" s="1135">
        <v>41</v>
      </c>
      <c r="L1779" s="1135">
        <v>25</v>
      </c>
      <c r="M1779" s="1135">
        <v>13</v>
      </c>
      <c r="N1779" s="1136">
        <v>7</v>
      </c>
      <c r="O1779" s="1145">
        <v>365</v>
      </c>
      <c r="P1779" s="323"/>
      <c r="Q1779" s="323"/>
      <c r="R1779" s="326"/>
      <c r="S1779" s="326"/>
      <c r="T1779" s="327"/>
      <c r="U1779" s="326"/>
      <c r="V1779" s="328"/>
      <c r="W1779" s="323"/>
      <c r="X1779" s="323"/>
      <c r="Y1779" s="323"/>
    </row>
    <row r="1780" spans="1:25" s="1130" customFormat="1" ht="39.6" hidden="1">
      <c r="A1780" s="1146"/>
      <c r="B1780" s="1147"/>
      <c r="C1780" s="1375" t="s">
        <v>3363</v>
      </c>
      <c r="D1780" s="1376"/>
      <c r="E1780" s="1376"/>
      <c r="F1780" s="1376"/>
      <c r="G1780" s="1376"/>
      <c r="H1780" s="1376"/>
      <c r="I1780" s="1376"/>
      <c r="J1780" s="1376"/>
      <c r="K1780" s="1376"/>
      <c r="L1780" s="1376"/>
      <c r="M1780" s="1376"/>
      <c r="N1780" s="1377"/>
      <c r="O1780" s="1131" t="s">
        <v>3364</v>
      </c>
      <c r="P1780" s="323"/>
      <c r="Q1780" s="323"/>
      <c r="R1780" s="326"/>
      <c r="S1780" s="326"/>
      <c r="T1780" s="327"/>
      <c r="U1780" s="326"/>
      <c r="V1780" s="328"/>
      <c r="W1780" s="323"/>
      <c r="X1780" s="323"/>
      <c r="Y1780" s="323"/>
    </row>
    <row r="1781" spans="1:25" s="1130" customFormat="1" ht="12.75" hidden="1" customHeight="1">
      <c r="A1781" s="1148" t="s">
        <v>1894</v>
      </c>
      <c r="B1781" s="1149"/>
      <c r="C1781" s="1150">
        <v>1</v>
      </c>
      <c r="D1781" s="1151">
        <v>1.9</v>
      </c>
      <c r="E1781" s="1151">
        <v>4.7</v>
      </c>
      <c r="F1781" s="1151">
        <v>9.1999999999999993</v>
      </c>
      <c r="G1781" s="1151">
        <v>14.1</v>
      </c>
      <c r="H1781" s="1151">
        <v>16.7</v>
      </c>
      <c r="I1781" s="1151">
        <v>19</v>
      </c>
      <c r="J1781" s="1151">
        <v>18.600000000000001</v>
      </c>
      <c r="K1781" s="1151">
        <v>14.3</v>
      </c>
      <c r="L1781" s="1151">
        <v>9.5</v>
      </c>
      <c r="M1781" s="1151">
        <v>4.0999999999999996</v>
      </c>
      <c r="N1781" s="1152">
        <v>0.9</v>
      </c>
      <c r="O1781" s="1153">
        <v>9.5</v>
      </c>
      <c r="P1781" s="323"/>
      <c r="Q1781" s="323"/>
      <c r="R1781" s="326"/>
      <c r="S1781" s="326"/>
      <c r="T1781" s="327"/>
      <c r="U1781" s="326"/>
      <c r="V1781" s="328"/>
      <c r="W1781" s="323"/>
      <c r="X1781" s="323"/>
      <c r="Y1781" s="323"/>
    </row>
    <row r="1782" spans="1:25" s="1130" customFormat="1" ht="13.2" hidden="1">
      <c r="A1782" s="1154"/>
      <c r="B1782" s="1154"/>
      <c r="C1782" s="1155"/>
      <c r="D1782" s="1155"/>
      <c r="E1782" s="1155"/>
      <c r="F1782" s="1155"/>
      <c r="G1782" s="1155"/>
      <c r="H1782" s="1155"/>
      <c r="I1782" s="1155"/>
      <c r="J1782" s="1155"/>
      <c r="K1782" s="1155"/>
      <c r="L1782" s="1155"/>
      <c r="M1782" s="1155"/>
      <c r="N1782" s="1155"/>
      <c r="O1782" s="1155"/>
      <c r="P1782" s="1155"/>
      <c r="Q1782" s="1129"/>
    </row>
    <row r="1783" spans="1:25" s="1130" customFormat="1" ht="13.2" hidden="1">
      <c r="P1783" s="1155"/>
      <c r="Q1783" s="1129"/>
    </row>
    <row r="1784" spans="1:25" s="1130" customFormat="1" ht="13.2" hidden="1">
      <c r="A1784" s="1129" t="s">
        <v>3371</v>
      </c>
      <c r="Q1784" s="1129"/>
    </row>
    <row r="1785" spans="1:25" s="1130" customFormat="1" ht="13.2" hidden="1">
      <c r="Q1785" s="1129"/>
    </row>
    <row r="1786" spans="1:25" s="1130" customFormat="1" ht="66" hidden="1">
      <c r="A1786" s="1314" t="s">
        <v>3372</v>
      </c>
      <c r="B1786" s="1315"/>
      <c r="C1786" s="1316" t="s">
        <v>3355</v>
      </c>
      <c r="D1786" s="1317"/>
      <c r="E1786" s="1317"/>
      <c r="F1786" s="1317"/>
      <c r="G1786" s="1317"/>
      <c r="H1786" s="1317"/>
      <c r="I1786" s="1317"/>
      <c r="J1786" s="1317"/>
      <c r="K1786" s="1317"/>
      <c r="L1786" s="1317"/>
      <c r="M1786" s="1317"/>
      <c r="N1786" s="1318"/>
      <c r="O1786" s="1131" t="s">
        <v>3356</v>
      </c>
      <c r="P1786" s="323"/>
      <c r="Q1786" s="1156">
        <v>5</v>
      </c>
      <c r="R1786" s="326"/>
      <c r="S1786" s="326"/>
      <c r="T1786" s="327"/>
      <c r="U1786" s="326"/>
      <c r="V1786" s="328"/>
      <c r="W1786" s="323"/>
      <c r="X1786" s="323"/>
      <c r="Y1786" s="323"/>
    </row>
    <row r="1787" spans="1:25" s="1130" customFormat="1" ht="13.2" hidden="1">
      <c r="A1787" s="1132" t="s">
        <v>77</v>
      </c>
      <c r="B1787" s="1133" t="s">
        <v>1795</v>
      </c>
      <c r="C1787" s="1134" t="s">
        <v>116</v>
      </c>
      <c r="D1787" s="1135" t="s">
        <v>117</v>
      </c>
      <c r="E1787" s="1135" t="s">
        <v>118</v>
      </c>
      <c r="F1787" s="1135" t="s">
        <v>119</v>
      </c>
      <c r="G1787" s="1135" t="s">
        <v>120</v>
      </c>
      <c r="H1787" s="1135" t="s">
        <v>121</v>
      </c>
      <c r="I1787" s="1135" t="s">
        <v>122</v>
      </c>
      <c r="J1787" s="1135" t="s">
        <v>123</v>
      </c>
      <c r="K1787" s="1135" t="s">
        <v>124</v>
      </c>
      <c r="L1787" s="1135" t="s">
        <v>125</v>
      </c>
      <c r="M1787" s="1135" t="s">
        <v>126</v>
      </c>
      <c r="N1787" s="1136" t="s">
        <v>127</v>
      </c>
      <c r="O1787" s="1137" t="s">
        <v>3357</v>
      </c>
      <c r="P1787" s="323"/>
      <c r="Q1787" s="323"/>
      <c r="R1787" s="326"/>
      <c r="S1787" s="326"/>
      <c r="T1787" s="327"/>
      <c r="U1787" s="326"/>
      <c r="V1787" s="328"/>
      <c r="W1787" s="323"/>
      <c r="X1787" s="323"/>
      <c r="Y1787" s="323"/>
    </row>
    <row r="1788" spans="1:25" s="1130" customFormat="1" ht="13.2" hidden="1">
      <c r="A1788" s="1138" t="s">
        <v>3358</v>
      </c>
      <c r="B1788" s="1137" t="s">
        <v>14</v>
      </c>
      <c r="C1788" s="1134">
        <v>26</v>
      </c>
      <c r="D1788" s="1135">
        <v>60</v>
      </c>
      <c r="E1788" s="1135">
        <v>79</v>
      </c>
      <c r="F1788" s="1135">
        <v>143</v>
      </c>
      <c r="G1788" s="1135">
        <v>187</v>
      </c>
      <c r="H1788" s="1135">
        <v>207</v>
      </c>
      <c r="I1788" s="1135">
        <v>204</v>
      </c>
      <c r="J1788" s="1135">
        <v>171</v>
      </c>
      <c r="K1788" s="1135">
        <v>114</v>
      </c>
      <c r="L1788" s="1135">
        <v>71</v>
      </c>
      <c r="M1788" s="1135">
        <v>31</v>
      </c>
      <c r="N1788" s="1136">
        <v>20</v>
      </c>
      <c r="O1788" s="1139">
        <v>960</v>
      </c>
      <c r="P1788" s="323"/>
      <c r="Q1788" s="323"/>
      <c r="R1788" s="326"/>
      <c r="S1788" s="326"/>
      <c r="T1788" s="327"/>
      <c r="U1788" s="326"/>
      <c r="V1788" s="328"/>
      <c r="W1788" s="323"/>
      <c r="X1788" s="323"/>
      <c r="Y1788" s="323"/>
    </row>
    <row r="1789" spans="1:25" s="1130" customFormat="1" ht="13.2" hidden="1">
      <c r="A1789" s="1319" t="s">
        <v>11</v>
      </c>
      <c r="B1789" s="1140" t="s">
        <v>15</v>
      </c>
      <c r="C1789" s="1141">
        <v>36</v>
      </c>
      <c r="D1789" s="1142">
        <v>82</v>
      </c>
      <c r="E1789" s="1142">
        <v>89</v>
      </c>
      <c r="F1789" s="1142">
        <v>155</v>
      </c>
      <c r="G1789" s="1142">
        <v>189</v>
      </c>
      <c r="H1789" s="1142">
        <v>203</v>
      </c>
      <c r="I1789" s="1142">
        <v>205</v>
      </c>
      <c r="J1789" s="1142">
        <v>178</v>
      </c>
      <c r="K1789" s="1142">
        <v>125</v>
      </c>
      <c r="L1789" s="1142">
        <v>87</v>
      </c>
      <c r="M1789" s="1142">
        <v>40</v>
      </c>
      <c r="N1789" s="1143">
        <v>27</v>
      </c>
      <c r="O1789" s="1144">
        <v>1036</v>
      </c>
      <c r="P1789" s="323"/>
      <c r="Q1789" s="323"/>
      <c r="R1789" s="326"/>
      <c r="S1789" s="326"/>
      <c r="T1789" s="327"/>
      <c r="U1789" s="326"/>
      <c r="V1789" s="328"/>
      <c r="W1789" s="323"/>
      <c r="X1789" s="323"/>
      <c r="Y1789" s="323"/>
    </row>
    <row r="1790" spans="1:25" s="1130" customFormat="1" ht="13.2" hidden="1">
      <c r="A1790" s="1320"/>
      <c r="B1790" s="1140" t="s">
        <v>16</v>
      </c>
      <c r="C1790" s="1141">
        <v>39</v>
      </c>
      <c r="D1790" s="1142">
        <v>88</v>
      </c>
      <c r="E1790" s="1142">
        <v>88</v>
      </c>
      <c r="F1790" s="1142">
        <v>151</v>
      </c>
      <c r="G1790" s="1142">
        <v>178</v>
      </c>
      <c r="H1790" s="1142">
        <v>188</v>
      </c>
      <c r="I1790" s="1142">
        <v>192</v>
      </c>
      <c r="J1790" s="1142">
        <v>170</v>
      </c>
      <c r="K1790" s="1142">
        <v>123</v>
      </c>
      <c r="L1790" s="1142">
        <v>90</v>
      </c>
      <c r="M1790" s="1142">
        <v>42</v>
      </c>
      <c r="N1790" s="1143">
        <v>28</v>
      </c>
      <c r="O1790" s="1144">
        <v>1006</v>
      </c>
      <c r="P1790" s="323"/>
      <c r="Q1790" s="323"/>
      <c r="R1790" s="326"/>
      <c r="S1790" s="326"/>
      <c r="T1790" s="327"/>
      <c r="U1790" s="326"/>
      <c r="V1790" s="328"/>
      <c r="W1790" s="323"/>
      <c r="X1790" s="323"/>
      <c r="Y1790" s="323"/>
    </row>
    <row r="1791" spans="1:25" s="1130" customFormat="1" ht="13.2" hidden="1">
      <c r="A1791" s="1320"/>
      <c r="B1791" s="1140" t="s">
        <v>17</v>
      </c>
      <c r="C1791" s="1141">
        <v>40</v>
      </c>
      <c r="D1791" s="1142">
        <v>89</v>
      </c>
      <c r="E1791" s="1142">
        <v>83</v>
      </c>
      <c r="F1791" s="1142">
        <v>140</v>
      </c>
      <c r="G1791" s="1142">
        <v>160</v>
      </c>
      <c r="H1791" s="1142">
        <v>167</v>
      </c>
      <c r="I1791" s="1142">
        <v>172</v>
      </c>
      <c r="J1791" s="1142">
        <v>155</v>
      </c>
      <c r="K1791" s="1142">
        <v>116</v>
      </c>
      <c r="L1791" s="1142">
        <v>89</v>
      </c>
      <c r="M1791" s="1142">
        <v>42</v>
      </c>
      <c r="N1791" s="1143">
        <v>29</v>
      </c>
      <c r="O1791" s="1144">
        <v>937</v>
      </c>
      <c r="P1791" s="323"/>
      <c r="Q1791" s="323"/>
      <c r="R1791" s="326"/>
      <c r="S1791" s="326"/>
      <c r="T1791" s="327"/>
      <c r="U1791" s="326"/>
      <c r="V1791" s="328"/>
      <c r="W1791" s="323"/>
      <c r="X1791" s="323"/>
      <c r="Y1791" s="323"/>
    </row>
    <row r="1792" spans="1:25" s="1130" customFormat="1" ht="13.2" hidden="1">
      <c r="A1792" s="1321"/>
      <c r="B1792" s="1137" t="s">
        <v>18</v>
      </c>
      <c r="C1792" s="1134">
        <v>37</v>
      </c>
      <c r="D1792" s="1135">
        <v>79</v>
      </c>
      <c r="E1792" s="1135">
        <v>65</v>
      </c>
      <c r="F1792" s="1135">
        <v>103</v>
      </c>
      <c r="G1792" s="1135">
        <v>111</v>
      </c>
      <c r="H1792" s="1135">
        <v>113</v>
      </c>
      <c r="I1792" s="1135">
        <v>117</v>
      </c>
      <c r="J1792" s="1135">
        <v>111</v>
      </c>
      <c r="K1792" s="1135">
        <v>89</v>
      </c>
      <c r="L1792" s="1135">
        <v>74</v>
      </c>
      <c r="M1792" s="1135">
        <v>37</v>
      </c>
      <c r="N1792" s="1136">
        <v>26</v>
      </c>
      <c r="O1792" s="1145">
        <v>702</v>
      </c>
      <c r="P1792" s="323"/>
      <c r="Q1792" s="323"/>
      <c r="R1792" s="326"/>
      <c r="S1792" s="326"/>
      <c r="T1792" s="327"/>
      <c r="U1792" s="326"/>
      <c r="V1792" s="328"/>
      <c r="W1792" s="323"/>
      <c r="X1792" s="323"/>
      <c r="Y1792" s="323"/>
    </row>
    <row r="1793" spans="1:25" s="1130" customFormat="1" ht="13.2" hidden="1">
      <c r="A1793" s="1319" t="s">
        <v>3359</v>
      </c>
      <c r="B1793" s="1140" t="s">
        <v>15</v>
      </c>
      <c r="C1793" s="1141">
        <v>35</v>
      </c>
      <c r="D1793" s="1142">
        <v>78</v>
      </c>
      <c r="E1793" s="1142">
        <v>88</v>
      </c>
      <c r="F1793" s="1142">
        <v>154</v>
      </c>
      <c r="G1793" s="1142">
        <v>193</v>
      </c>
      <c r="H1793" s="1142">
        <v>206</v>
      </c>
      <c r="I1793" s="1142">
        <v>207</v>
      </c>
      <c r="J1793" s="1142">
        <v>178</v>
      </c>
      <c r="K1793" s="1142">
        <v>125</v>
      </c>
      <c r="L1793" s="1142">
        <v>85</v>
      </c>
      <c r="M1793" s="1142">
        <v>38</v>
      </c>
      <c r="N1793" s="1143">
        <v>25</v>
      </c>
      <c r="O1793" s="1144">
        <v>1032</v>
      </c>
      <c r="P1793" s="323"/>
      <c r="Q1793" s="323"/>
      <c r="R1793" s="326"/>
      <c r="S1793" s="326"/>
      <c r="T1793" s="327"/>
      <c r="U1793" s="326"/>
      <c r="V1793" s="328"/>
      <c r="W1793" s="323"/>
      <c r="X1793" s="323"/>
      <c r="Y1793" s="323"/>
    </row>
    <row r="1794" spans="1:25" s="1130" customFormat="1" ht="13.2" hidden="1">
      <c r="A1794" s="1320"/>
      <c r="B1794" s="1140" t="s">
        <v>16</v>
      </c>
      <c r="C1794" s="1141">
        <v>37</v>
      </c>
      <c r="D1794" s="1142">
        <v>82</v>
      </c>
      <c r="E1794" s="1142">
        <v>87</v>
      </c>
      <c r="F1794" s="1142">
        <v>150</v>
      </c>
      <c r="G1794" s="1142">
        <v>184</v>
      </c>
      <c r="H1794" s="1142">
        <v>193</v>
      </c>
      <c r="I1794" s="1142">
        <v>196</v>
      </c>
      <c r="J1794" s="1142">
        <v>171</v>
      </c>
      <c r="K1794" s="1142">
        <v>124</v>
      </c>
      <c r="L1794" s="1142">
        <v>86</v>
      </c>
      <c r="M1794" s="1142">
        <v>40</v>
      </c>
      <c r="N1794" s="1143">
        <v>26</v>
      </c>
      <c r="O1794" s="1144">
        <v>1004</v>
      </c>
      <c r="P1794" s="323"/>
      <c r="Q1794" s="323"/>
      <c r="R1794" s="326"/>
      <c r="S1794" s="326"/>
      <c r="T1794" s="327"/>
      <c r="U1794" s="326"/>
      <c r="V1794" s="328"/>
      <c r="W1794" s="323"/>
      <c r="X1794" s="323"/>
      <c r="Y1794" s="323"/>
    </row>
    <row r="1795" spans="1:25" s="1130" customFormat="1" ht="13.2" hidden="1">
      <c r="A1795" s="1320"/>
      <c r="B1795" s="1140" t="s">
        <v>17</v>
      </c>
      <c r="C1795" s="1141">
        <v>37</v>
      </c>
      <c r="D1795" s="1142">
        <v>82</v>
      </c>
      <c r="E1795" s="1142">
        <v>82</v>
      </c>
      <c r="F1795" s="1142">
        <v>140</v>
      </c>
      <c r="G1795" s="1142">
        <v>168</v>
      </c>
      <c r="H1795" s="1142">
        <v>174</v>
      </c>
      <c r="I1795" s="1142">
        <v>177</v>
      </c>
      <c r="J1795" s="1142">
        <v>157</v>
      </c>
      <c r="K1795" s="1142">
        <v>117</v>
      </c>
      <c r="L1795" s="1142">
        <v>84</v>
      </c>
      <c r="M1795" s="1142">
        <v>39</v>
      </c>
      <c r="N1795" s="1143">
        <v>26</v>
      </c>
      <c r="O1795" s="1144">
        <v>939</v>
      </c>
      <c r="P1795" s="323"/>
      <c r="Q1795" s="323"/>
      <c r="R1795" s="326"/>
      <c r="S1795" s="326"/>
      <c r="T1795" s="327"/>
      <c r="U1795" s="326"/>
      <c r="V1795" s="328"/>
      <c r="W1795" s="323"/>
      <c r="X1795" s="323"/>
      <c r="Y1795" s="323"/>
    </row>
    <row r="1796" spans="1:25" s="1130" customFormat="1" ht="13.2" hidden="1">
      <c r="A1796" s="1321"/>
      <c r="B1796" s="1137" t="s">
        <v>18</v>
      </c>
      <c r="C1796" s="1134">
        <v>33</v>
      </c>
      <c r="D1796" s="1135">
        <v>71</v>
      </c>
      <c r="E1796" s="1135">
        <v>65</v>
      </c>
      <c r="F1796" s="1135">
        <v>106</v>
      </c>
      <c r="G1796" s="1135">
        <v>123</v>
      </c>
      <c r="H1796" s="1135">
        <v>125</v>
      </c>
      <c r="I1796" s="1135">
        <v>127</v>
      </c>
      <c r="J1796" s="1135">
        <v>116</v>
      </c>
      <c r="K1796" s="1135">
        <v>92</v>
      </c>
      <c r="L1796" s="1135">
        <v>70</v>
      </c>
      <c r="M1796" s="1135">
        <v>34</v>
      </c>
      <c r="N1796" s="1136">
        <v>23</v>
      </c>
      <c r="O1796" s="1145">
        <v>719</v>
      </c>
      <c r="P1796" s="323"/>
      <c r="Q1796" s="323"/>
      <c r="R1796" s="326"/>
      <c r="S1796" s="326"/>
      <c r="T1796" s="327"/>
      <c r="U1796" s="326"/>
      <c r="V1796" s="328"/>
      <c r="W1796" s="323"/>
      <c r="X1796" s="323"/>
      <c r="Y1796" s="323"/>
    </row>
    <row r="1797" spans="1:25" s="1130" customFormat="1" ht="13.2" hidden="1">
      <c r="A1797" s="1319" t="s">
        <v>3360</v>
      </c>
      <c r="B1797" s="1140" t="s">
        <v>15</v>
      </c>
      <c r="C1797" s="1141">
        <v>31</v>
      </c>
      <c r="D1797" s="1142">
        <v>71</v>
      </c>
      <c r="E1797" s="1142">
        <v>81</v>
      </c>
      <c r="F1797" s="1142">
        <v>145</v>
      </c>
      <c r="G1797" s="1142">
        <v>179</v>
      </c>
      <c r="H1797" s="1142">
        <v>196</v>
      </c>
      <c r="I1797" s="1142">
        <v>196</v>
      </c>
      <c r="J1797" s="1142">
        <v>168</v>
      </c>
      <c r="K1797" s="1142">
        <v>115</v>
      </c>
      <c r="L1797" s="1142">
        <v>78</v>
      </c>
      <c r="M1797" s="1142">
        <v>35</v>
      </c>
      <c r="N1797" s="1143">
        <v>23</v>
      </c>
      <c r="O1797" s="1144">
        <v>963</v>
      </c>
      <c r="P1797" s="323"/>
      <c r="Q1797" s="323"/>
      <c r="R1797" s="326"/>
      <c r="S1797" s="326"/>
      <c r="T1797" s="327"/>
      <c r="U1797" s="326"/>
      <c r="V1797" s="328"/>
      <c r="W1797" s="323"/>
      <c r="X1797" s="323"/>
      <c r="Y1797" s="323"/>
    </row>
    <row r="1798" spans="1:25" s="1130" customFormat="1" ht="13.2" hidden="1">
      <c r="A1798" s="1320"/>
      <c r="B1798" s="1140" t="s">
        <v>16</v>
      </c>
      <c r="C1798" s="1141">
        <v>32</v>
      </c>
      <c r="D1798" s="1142">
        <v>72</v>
      </c>
      <c r="E1798" s="1142">
        <v>78</v>
      </c>
      <c r="F1798" s="1142">
        <v>138</v>
      </c>
      <c r="G1798" s="1142">
        <v>166</v>
      </c>
      <c r="H1798" s="1142">
        <v>181</v>
      </c>
      <c r="I1798" s="1142">
        <v>181</v>
      </c>
      <c r="J1798" s="1142">
        <v>158</v>
      </c>
      <c r="K1798" s="1142">
        <v>109</v>
      </c>
      <c r="L1798" s="1142">
        <v>77</v>
      </c>
      <c r="M1798" s="1142">
        <v>35</v>
      </c>
      <c r="N1798" s="1143">
        <v>24</v>
      </c>
      <c r="O1798" s="1144">
        <v>912</v>
      </c>
      <c r="P1798" s="323"/>
      <c r="Q1798" s="323"/>
      <c r="R1798" s="326"/>
      <c r="S1798" s="326"/>
      <c r="T1798" s="327"/>
      <c r="U1798" s="326"/>
      <c r="V1798" s="328"/>
      <c r="W1798" s="323"/>
      <c r="X1798" s="323"/>
      <c r="Y1798" s="323"/>
    </row>
    <row r="1799" spans="1:25" s="1130" customFormat="1" ht="13.2" hidden="1">
      <c r="A1799" s="1320"/>
      <c r="B1799" s="1140" t="s">
        <v>17</v>
      </c>
      <c r="C1799" s="1141">
        <v>31</v>
      </c>
      <c r="D1799" s="1142">
        <v>70</v>
      </c>
      <c r="E1799" s="1142">
        <v>72</v>
      </c>
      <c r="F1799" s="1142">
        <v>126</v>
      </c>
      <c r="G1799" s="1142">
        <v>149</v>
      </c>
      <c r="H1799" s="1142">
        <v>161</v>
      </c>
      <c r="I1799" s="1142">
        <v>161</v>
      </c>
      <c r="J1799" s="1142">
        <v>143</v>
      </c>
      <c r="K1799" s="1142">
        <v>101</v>
      </c>
      <c r="L1799" s="1142">
        <v>73</v>
      </c>
      <c r="M1799" s="1142">
        <v>34</v>
      </c>
      <c r="N1799" s="1143">
        <v>23</v>
      </c>
      <c r="O1799" s="1144">
        <v>835</v>
      </c>
      <c r="P1799" s="323"/>
      <c r="Q1799" s="323"/>
      <c r="R1799" s="326"/>
      <c r="S1799" s="326"/>
      <c r="T1799" s="327"/>
      <c r="U1799" s="326"/>
      <c r="V1799" s="328"/>
      <c r="W1799" s="323"/>
      <c r="X1799" s="323"/>
      <c r="Y1799" s="323"/>
    </row>
    <row r="1800" spans="1:25" s="1130" customFormat="1" ht="13.2" hidden="1">
      <c r="A1800" s="1321"/>
      <c r="B1800" s="1137" t="s">
        <v>18</v>
      </c>
      <c r="C1800" s="1134">
        <v>26</v>
      </c>
      <c r="D1800" s="1135">
        <v>58</v>
      </c>
      <c r="E1800" s="1135">
        <v>54</v>
      </c>
      <c r="F1800" s="1135">
        <v>92</v>
      </c>
      <c r="G1800" s="1135">
        <v>106</v>
      </c>
      <c r="H1800" s="1135">
        <v>113</v>
      </c>
      <c r="I1800" s="1135">
        <v>113</v>
      </c>
      <c r="J1800" s="1135">
        <v>103</v>
      </c>
      <c r="K1800" s="1135">
        <v>75</v>
      </c>
      <c r="L1800" s="1135">
        <v>57</v>
      </c>
      <c r="M1800" s="1135">
        <v>27</v>
      </c>
      <c r="N1800" s="1136">
        <v>20</v>
      </c>
      <c r="O1800" s="1145">
        <v>616</v>
      </c>
      <c r="P1800" s="323"/>
      <c r="Q1800" s="323"/>
      <c r="R1800" s="326"/>
      <c r="S1800" s="326"/>
      <c r="T1800" s="327"/>
      <c r="U1800" s="326"/>
      <c r="V1800" s="328"/>
      <c r="W1800" s="323"/>
      <c r="X1800" s="323"/>
      <c r="Y1800" s="323"/>
    </row>
    <row r="1801" spans="1:25" s="1130" customFormat="1" ht="13.2" hidden="1">
      <c r="A1801" s="1319" t="s">
        <v>980</v>
      </c>
      <c r="B1801" s="1140" t="s">
        <v>15</v>
      </c>
      <c r="C1801" s="1141">
        <v>27</v>
      </c>
      <c r="D1801" s="1142">
        <v>61</v>
      </c>
      <c r="E1801" s="1142">
        <v>79</v>
      </c>
      <c r="F1801" s="1142">
        <v>140</v>
      </c>
      <c r="G1801" s="1142">
        <v>185</v>
      </c>
      <c r="H1801" s="1142">
        <v>201</v>
      </c>
      <c r="I1801" s="1142">
        <v>199</v>
      </c>
      <c r="J1801" s="1142">
        <v>167</v>
      </c>
      <c r="K1801" s="1142">
        <v>114</v>
      </c>
      <c r="L1801" s="1142">
        <v>71</v>
      </c>
      <c r="M1801" s="1142">
        <v>31</v>
      </c>
      <c r="N1801" s="1143">
        <v>19</v>
      </c>
      <c r="O1801" s="1144">
        <v>946</v>
      </c>
      <c r="P1801" s="323"/>
      <c r="Q1801" s="323"/>
      <c r="R1801" s="326"/>
      <c r="S1801" s="326"/>
      <c r="T1801" s="327"/>
      <c r="U1801" s="326"/>
      <c r="V1801" s="328"/>
      <c r="W1801" s="323"/>
      <c r="X1801" s="323"/>
      <c r="Y1801" s="323"/>
    </row>
    <row r="1802" spans="1:25" s="1130" customFormat="1" ht="13.2" hidden="1">
      <c r="A1802" s="1320"/>
      <c r="B1802" s="1140" t="s">
        <v>16</v>
      </c>
      <c r="C1802" s="1141">
        <v>26</v>
      </c>
      <c r="D1802" s="1142">
        <v>59</v>
      </c>
      <c r="E1802" s="1142">
        <v>75</v>
      </c>
      <c r="F1802" s="1142">
        <v>133</v>
      </c>
      <c r="G1802" s="1142">
        <v>174</v>
      </c>
      <c r="H1802" s="1142">
        <v>188</v>
      </c>
      <c r="I1802" s="1142">
        <v>185</v>
      </c>
      <c r="J1802" s="1142">
        <v>157</v>
      </c>
      <c r="K1802" s="1142">
        <v>109</v>
      </c>
      <c r="L1802" s="1142">
        <v>68</v>
      </c>
      <c r="M1802" s="1142">
        <v>30</v>
      </c>
      <c r="N1802" s="1143">
        <v>18</v>
      </c>
      <c r="O1802" s="1144">
        <v>893</v>
      </c>
      <c r="P1802" s="323"/>
      <c r="Q1802" s="323"/>
      <c r="R1802" s="326"/>
      <c r="S1802" s="326"/>
      <c r="T1802" s="327"/>
      <c r="U1802" s="326"/>
      <c r="V1802" s="328"/>
      <c r="W1802" s="323"/>
      <c r="X1802" s="323"/>
      <c r="Y1802" s="323"/>
    </row>
    <row r="1803" spans="1:25" s="1130" customFormat="1" ht="13.2" hidden="1">
      <c r="A1803" s="1320"/>
      <c r="B1803" s="1140" t="s">
        <v>17</v>
      </c>
      <c r="C1803" s="1141">
        <v>25</v>
      </c>
      <c r="D1803" s="1142">
        <v>56</v>
      </c>
      <c r="E1803" s="1142">
        <v>69</v>
      </c>
      <c r="F1803" s="1142">
        <v>122</v>
      </c>
      <c r="G1803" s="1142">
        <v>160</v>
      </c>
      <c r="H1803" s="1142">
        <v>170</v>
      </c>
      <c r="I1803" s="1142">
        <v>168</v>
      </c>
      <c r="J1803" s="1142">
        <v>143</v>
      </c>
      <c r="K1803" s="1142">
        <v>101</v>
      </c>
      <c r="L1803" s="1142">
        <v>63</v>
      </c>
      <c r="M1803" s="1142">
        <v>28</v>
      </c>
      <c r="N1803" s="1143">
        <v>17</v>
      </c>
      <c r="O1803" s="1144">
        <v>820</v>
      </c>
      <c r="P1803" s="323"/>
      <c r="Q1803" s="323"/>
      <c r="R1803" s="326"/>
      <c r="S1803" s="326"/>
      <c r="T1803" s="327"/>
      <c r="U1803" s="326"/>
      <c r="V1803" s="328"/>
      <c r="W1803" s="323"/>
      <c r="X1803" s="323"/>
      <c r="Y1803" s="323"/>
    </row>
    <row r="1804" spans="1:25" s="1130" customFormat="1" ht="13.2" hidden="1">
      <c r="A1804" s="1321"/>
      <c r="B1804" s="1137" t="s">
        <v>18</v>
      </c>
      <c r="C1804" s="1134">
        <v>20</v>
      </c>
      <c r="D1804" s="1135">
        <v>45</v>
      </c>
      <c r="E1804" s="1135">
        <v>53</v>
      </c>
      <c r="F1804" s="1135">
        <v>93</v>
      </c>
      <c r="G1804" s="1135">
        <v>121</v>
      </c>
      <c r="H1804" s="1135">
        <v>128</v>
      </c>
      <c r="I1804" s="1135">
        <v>124</v>
      </c>
      <c r="J1804" s="1135">
        <v>108</v>
      </c>
      <c r="K1804" s="1135">
        <v>78</v>
      </c>
      <c r="L1804" s="1135">
        <v>50</v>
      </c>
      <c r="M1804" s="1135">
        <v>22</v>
      </c>
      <c r="N1804" s="1136">
        <v>13</v>
      </c>
      <c r="O1804" s="1145">
        <v>626</v>
      </c>
      <c r="P1804" s="323"/>
      <c r="Q1804" s="323"/>
      <c r="R1804" s="326"/>
      <c r="S1804" s="326"/>
      <c r="T1804" s="327"/>
      <c r="U1804" s="326"/>
      <c r="V1804" s="328"/>
      <c r="W1804" s="323"/>
      <c r="X1804" s="323"/>
      <c r="Y1804" s="323"/>
    </row>
    <row r="1805" spans="1:25" s="1130" customFormat="1" ht="13.2" hidden="1">
      <c r="A1805" s="1319" t="s">
        <v>981</v>
      </c>
      <c r="B1805" s="1140" t="s">
        <v>15</v>
      </c>
      <c r="C1805" s="1141">
        <v>24</v>
      </c>
      <c r="D1805" s="1142">
        <v>54</v>
      </c>
      <c r="E1805" s="1142">
        <v>70</v>
      </c>
      <c r="F1805" s="1142">
        <v>128</v>
      </c>
      <c r="G1805" s="1142">
        <v>164</v>
      </c>
      <c r="H1805" s="1142">
        <v>185</v>
      </c>
      <c r="I1805" s="1142">
        <v>182</v>
      </c>
      <c r="J1805" s="1142">
        <v>153</v>
      </c>
      <c r="K1805" s="1142">
        <v>100</v>
      </c>
      <c r="L1805" s="1142">
        <v>63</v>
      </c>
      <c r="M1805" s="1142">
        <v>27</v>
      </c>
      <c r="N1805" s="1143">
        <v>18</v>
      </c>
      <c r="O1805" s="1144">
        <v>855</v>
      </c>
      <c r="P1805" s="323"/>
      <c r="Q1805" s="323"/>
      <c r="R1805" s="326"/>
      <c r="S1805" s="326"/>
      <c r="T1805" s="327"/>
      <c r="U1805" s="326"/>
      <c r="V1805" s="328"/>
      <c r="W1805" s="323"/>
      <c r="X1805" s="323"/>
      <c r="Y1805" s="323"/>
    </row>
    <row r="1806" spans="1:25" s="1130" customFormat="1" ht="13.2" hidden="1">
      <c r="A1806" s="1320"/>
      <c r="B1806" s="1140" t="s">
        <v>16</v>
      </c>
      <c r="C1806" s="1141">
        <v>22</v>
      </c>
      <c r="D1806" s="1142">
        <v>50</v>
      </c>
      <c r="E1806" s="1142">
        <v>64</v>
      </c>
      <c r="F1806" s="1142">
        <v>117</v>
      </c>
      <c r="G1806" s="1142">
        <v>149</v>
      </c>
      <c r="H1806" s="1142">
        <v>168</v>
      </c>
      <c r="I1806" s="1142">
        <v>164</v>
      </c>
      <c r="J1806" s="1142">
        <v>139</v>
      </c>
      <c r="K1806" s="1142">
        <v>92</v>
      </c>
      <c r="L1806" s="1142">
        <v>58</v>
      </c>
      <c r="M1806" s="1142">
        <v>25</v>
      </c>
      <c r="N1806" s="1143">
        <v>16</v>
      </c>
      <c r="O1806" s="1144">
        <v>778</v>
      </c>
      <c r="P1806" s="323"/>
      <c r="Q1806" s="323"/>
      <c r="R1806" s="326"/>
      <c r="S1806" s="326"/>
      <c r="T1806" s="327"/>
      <c r="U1806" s="326"/>
      <c r="V1806" s="328"/>
      <c r="W1806" s="323"/>
      <c r="X1806" s="323"/>
      <c r="Y1806" s="323"/>
    </row>
    <row r="1807" spans="1:25" s="1130" customFormat="1" ht="13.2" hidden="1">
      <c r="A1807" s="1320"/>
      <c r="B1807" s="1140" t="s">
        <v>17</v>
      </c>
      <c r="C1807" s="1141">
        <v>20</v>
      </c>
      <c r="D1807" s="1142">
        <v>45</v>
      </c>
      <c r="E1807" s="1142">
        <v>57</v>
      </c>
      <c r="F1807" s="1142">
        <v>104</v>
      </c>
      <c r="G1807" s="1142">
        <v>132</v>
      </c>
      <c r="H1807" s="1142">
        <v>149</v>
      </c>
      <c r="I1807" s="1142">
        <v>145</v>
      </c>
      <c r="J1807" s="1142">
        <v>123</v>
      </c>
      <c r="K1807" s="1142">
        <v>82</v>
      </c>
      <c r="L1807" s="1142">
        <v>52</v>
      </c>
      <c r="M1807" s="1142">
        <v>23</v>
      </c>
      <c r="N1807" s="1143">
        <v>15</v>
      </c>
      <c r="O1807" s="1144">
        <v>692</v>
      </c>
      <c r="P1807" s="323"/>
      <c r="Q1807" s="323"/>
      <c r="R1807" s="326"/>
      <c r="S1807" s="326"/>
      <c r="T1807" s="327"/>
      <c r="U1807" s="326"/>
      <c r="V1807" s="328"/>
      <c r="W1807" s="323"/>
      <c r="X1807" s="323"/>
      <c r="Y1807" s="323"/>
    </row>
    <row r="1808" spans="1:25" s="1130" customFormat="1" ht="13.2" hidden="1">
      <c r="A1808" s="1321"/>
      <c r="B1808" s="1137" t="s">
        <v>18</v>
      </c>
      <c r="C1808" s="1134">
        <v>15</v>
      </c>
      <c r="D1808" s="1135">
        <v>34</v>
      </c>
      <c r="E1808" s="1135">
        <v>42</v>
      </c>
      <c r="F1808" s="1135">
        <v>76</v>
      </c>
      <c r="G1808" s="1135">
        <v>96</v>
      </c>
      <c r="H1808" s="1135">
        <v>108</v>
      </c>
      <c r="I1808" s="1135">
        <v>104</v>
      </c>
      <c r="J1808" s="1135">
        <v>89</v>
      </c>
      <c r="K1808" s="1135">
        <v>61</v>
      </c>
      <c r="L1808" s="1135">
        <v>39</v>
      </c>
      <c r="M1808" s="1135">
        <v>17</v>
      </c>
      <c r="N1808" s="1136">
        <v>11</v>
      </c>
      <c r="O1808" s="1145">
        <v>507</v>
      </c>
      <c r="P1808" s="323"/>
      <c r="Q1808" s="323"/>
      <c r="R1808" s="326"/>
      <c r="S1808" s="326"/>
      <c r="T1808" s="327"/>
      <c r="U1808" s="326"/>
      <c r="V1808" s="328"/>
      <c r="W1808" s="323"/>
      <c r="X1808" s="323"/>
      <c r="Y1808" s="323"/>
    </row>
    <row r="1809" spans="1:25" s="1130" customFormat="1" ht="13.2" hidden="1">
      <c r="A1809" s="1319" t="s">
        <v>3361</v>
      </c>
      <c r="B1809" s="1140" t="s">
        <v>15</v>
      </c>
      <c r="C1809" s="1141">
        <v>19</v>
      </c>
      <c r="D1809" s="1142">
        <v>40</v>
      </c>
      <c r="E1809" s="1142">
        <v>60</v>
      </c>
      <c r="F1809" s="1142">
        <v>112</v>
      </c>
      <c r="G1809" s="1142">
        <v>152</v>
      </c>
      <c r="H1809" s="1142">
        <v>176</v>
      </c>
      <c r="I1809" s="1142">
        <v>169</v>
      </c>
      <c r="J1809" s="1142">
        <v>138</v>
      </c>
      <c r="K1809" s="1142">
        <v>88</v>
      </c>
      <c r="L1809" s="1142">
        <v>51</v>
      </c>
      <c r="M1809" s="1142">
        <v>23</v>
      </c>
      <c r="N1809" s="1143">
        <v>14</v>
      </c>
      <c r="O1809" s="1144">
        <v>763</v>
      </c>
      <c r="P1809" s="323"/>
      <c r="Q1809" s="323"/>
      <c r="R1809" s="326"/>
      <c r="S1809" s="326"/>
      <c r="T1809" s="327"/>
      <c r="U1809" s="326"/>
      <c r="V1809" s="328"/>
      <c r="W1809" s="323"/>
      <c r="X1809" s="323"/>
      <c r="Y1809" s="323"/>
    </row>
    <row r="1810" spans="1:25" s="1130" customFormat="1" ht="13.2" hidden="1">
      <c r="A1810" s="1320"/>
      <c r="B1810" s="1140" t="s">
        <v>16</v>
      </c>
      <c r="C1810" s="1141">
        <v>17</v>
      </c>
      <c r="D1810" s="1142">
        <v>35</v>
      </c>
      <c r="E1810" s="1142">
        <v>52</v>
      </c>
      <c r="F1810" s="1142">
        <v>96</v>
      </c>
      <c r="G1810" s="1142">
        <v>130</v>
      </c>
      <c r="H1810" s="1142">
        <v>152</v>
      </c>
      <c r="I1810" s="1142">
        <v>145</v>
      </c>
      <c r="J1810" s="1142">
        <v>119</v>
      </c>
      <c r="K1810" s="1142">
        <v>76</v>
      </c>
      <c r="L1810" s="1142">
        <v>44</v>
      </c>
      <c r="M1810" s="1142">
        <v>20</v>
      </c>
      <c r="N1810" s="1143">
        <v>13</v>
      </c>
      <c r="O1810" s="1144">
        <v>658</v>
      </c>
      <c r="P1810" s="323"/>
      <c r="Q1810" s="323"/>
      <c r="R1810" s="326"/>
      <c r="S1810" s="326"/>
      <c r="T1810" s="327"/>
      <c r="U1810" s="326"/>
      <c r="V1810" s="328"/>
      <c r="W1810" s="323"/>
      <c r="X1810" s="323"/>
      <c r="Y1810" s="323"/>
    </row>
    <row r="1811" spans="1:25" s="1130" customFormat="1" ht="13.2" hidden="1">
      <c r="A1811" s="1320"/>
      <c r="B1811" s="1140" t="s">
        <v>17</v>
      </c>
      <c r="C1811" s="1141">
        <v>15</v>
      </c>
      <c r="D1811" s="1142">
        <v>31</v>
      </c>
      <c r="E1811" s="1142">
        <v>45</v>
      </c>
      <c r="F1811" s="1142">
        <v>82</v>
      </c>
      <c r="G1811" s="1142">
        <v>111</v>
      </c>
      <c r="H1811" s="1142">
        <v>131</v>
      </c>
      <c r="I1811" s="1142">
        <v>123</v>
      </c>
      <c r="J1811" s="1142">
        <v>102</v>
      </c>
      <c r="K1811" s="1142">
        <v>66</v>
      </c>
      <c r="L1811" s="1142">
        <v>39</v>
      </c>
      <c r="M1811" s="1142">
        <v>18</v>
      </c>
      <c r="N1811" s="1143">
        <v>12</v>
      </c>
      <c r="O1811" s="1144">
        <v>567</v>
      </c>
      <c r="P1811" s="323"/>
      <c r="Q1811" s="323"/>
      <c r="R1811" s="326"/>
      <c r="S1811" s="326"/>
      <c r="T1811" s="327"/>
      <c r="U1811" s="326"/>
      <c r="V1811" s="328"/>
      <c r="W1811" s="323"/>
      <c r="X1811" s="323"/>
      <c r="Y1811" s="323"/>
    </row>
    <row r="1812" spans="1:25" s="1130" customFormat="1" ht="13.2" hidden="1">
      <c r="A1812" s="1321"/>
      <c r="B1812" s="1137" t="s">
        <v>18</v>
      </c>
      <c r="C1812" s="1134">
        <v>11</v>
      </c>
      <c r="D1812" s="1135">
        <v>24</v>
      </c>
      <c r="E1812" s="1135">
        <v>33</v>
      </c>
      <c r="F1812" s="1135">
        <v>61</v>
      </c>
      <c r="G1812" s="1135">
        <v>81</v>
      </c>
      <c r="H1812" s="1135">
        <v>94</v>
      </c>
      <c r="I1812" s="1135">
        <v>89</v>
      </c>
      <c r="J1812" s="1135">
        <v>74</v>
      </c>
      <c r="K1812" s="1135">
        <v>49</v>
      </c>
      <c r="L1812" s="1135">
        <v>29</v>
      </c>
      <c r="M1812" s="1135">
        <v>13</v>
      </c>
      <c r="N1812" s="1136">
        <v>9</v>
      </c>
      <c r="O1812" s="1145">
        <v>415</v>
      </c>
      <c r="P1812" s="323"/>
      <c r="Q1812" s="323"/>
      <c r="R1812" s="326"/>
      <c r="S1812" s="326"/>
      <c r="T1812" s="327"/>
      <c r="U1812" s="326"/>
      <c r="V1812" s="328"/>
      <c r="W1812" s="323"/>
      <c r="X1812" s="323"/>
      <c r="Y1812" s="323"/>
    </row>
    <row r="1813" spans="1:25" s="1130" customFormat="1" ht="13.2" hidden="1">
      <c r="A1813" s="1319" t="s">
        <v>3362</v>
      </c>
      <c r="B1813" s="1140" t="s">
        <v>15</v>
      </c>
      <c r="C1813" s="1141">
        <v>20</v>
      </c>
      <c r="D1813" s="1142">
        <v>43</v>
      </c>
      <c r="E1813" s="1142">
        <v>66</v>
      </c>
      <c r="F1813" s="1142">
        <v>121</v>
      </c>
      <c r="G1813" s="1142">
        <v>168</v>
      </c>
      <c r="H1813" s="1142">
        <v>188</v>
      </c>
      <c r="I1813" s="1142">
        <v>183</v>
      </c>
      <c r="J1813" s="1142">
        <v>150</v>
      </c>
      <c r="K1813" s="1142">
        <v>97</v>
      </c>
      <c r="L1813" s="1142">
        <v>55</v>
      </c>
      <c r="M1813" s="1142">
        <v>24</v>
      </c>
      <c r="N1813" s="1143">
        <v>15</v>
      </c>
      <c r="O1813" s="1144">
        <v>826</v>
      </c>
      <c r="P1813" s="323"/>
      <c r="Q1813" s="323"/>
      <c r="R1813" s="326"/>
      <c r="S1813" s="326"/>
      <c r="T1813" s="327"/>
      <c r="U1813" s="326"/>
      <c r="V1813" s="328"/>
      <c r="W1813" s="323"/>
      <c r="X1813" s="323"/>
      <c r="Y1813" s="323"/>
    </row>
    <row r="1814" spans="1:25" s="1130" customFormat="1" ht="13.2" hidden="1">
      <c r="A1814" s="1320"/>
      <c r="B1814" s="1140" t="s">
        <v>16</v>
      </c>
      <c r="C1814" s="1141">
        <v>18</v>
      </c>
      <c r="D1814" s="1142">
        <v>38</v>
      </c>
      <c r="E1814" s="1142">
        <v>58</v>
      </c>
      <c r="F1814" s="1142">
        <v>106</v>
      </c>
      <c r="G1814" s="1142">
        <v>150</v>
      </c>
      <c r="H1814" s="1142">
        <v>169</v>
      </c>
      <c r="I1814" s="1142">
        <v>162</v>
      </c>
      <c r="J1814" s="1142">
        <v>133</v>
      </c>
      <c r="K1814" s="1142">
        <v>86</v>
      </c>
      <c r="L1814" s="1142">
        <v>48</v>
      </c>
      <c r="M1814" s="1142">
        <v>21</v>
      </c>
      <c r="N1814" s="1143">
        <v>13</v>
      </c>
      <c r="O1814" s="1144">
        <v>734</v>
      </c>
      <c r="P1814" s="323"/>
      <c r="Q1814" s="323"/>
      <c r="R1814" s="326"/>
      <c r="S1814" s="326"/>
      <c r="T1814" s="327"/>
      <c r="U1814" s="326"/>
      <c r="V1814" s="328"/>
      <c r="W1814" s="323"/>
      <c r="X1814" s="323"/>
      <c r="Y1814" s="323"/>
    </row>
    <row r="1815" spans="1:25" s="1130" customFormat="1" ht="13.2" hidden="1">
      <c r="A1815" s="1320"/>
      <c r="B1815" s="1140" t="s">
        <v>17</v>
      </c>
      <c r="C1815" s="1141">
        <v>16</v>
      </c>
      <c r="D1815" s="1142">
        <v>34</v>
      </c>
      <c r="E1815" s="1142">
        <v>51</v>
      </c>
      <c r="F1815" s="1142">
        <v>93</v>
      </c>
      <c r="G1815" s="1142">
        <v>132</v>
      </c>
      <c r="H1815" s="1142">
        <v>149</v>
      </c>
      <c r="I1815" s="1142">
        <v>141</v>
      </c>
      <c r="J1815" s="1142">
        <v>116</v>
      </c>
      <c r="K1815" s="1142">
        <v>76</v>
      </c>
      <c r="L1815" s="1142">
        <v>43</v>
      </c>
      <c r="M1815" s="1142">
        <v>19</v>
      </c>
      <c r="N1815" s="1143">
        <v>12</v>
      </c>
      <c r="O1815" s="1144">
        <v>645</v>
      </c>
      <c r="P1815" s="323"/>
      <c r="Q1815" s="323"/>
      <c r="R1815" s="326"/>
      <c r="S1815" s="326"/>
      <c r="T1815" s="327"/>
      <c r="U1815" s="326"/>
      <c r="V1815" s="328"/>
      <c r="W1815" s="323"/>
      <c r="X1815" s="323"/>
      <c r="Y1815" s="323"/>
    </row>
    <row r="1816" spans="1:25" s="1130" customFormat="1" ht="13.2" hidden="1">
      <c r="A1816" s="1321"/>
      <c r="B1816" s="1137" t="s">
        <v>18</v>
      </c>
      <c r="C1816" s="1134">
        <v>12</v>
      </c>
      <c r="D1816" s="1135">
        <v>26</v>
      </c>
      <c r="E1816" s="1135">
        <v>38</v>
      </c>
      <c r="F1816" s="1135">
        <v>70</v>
      </c>
      <c r="G1816" s="1135">
        <v>98</v>
      </c>
      <c r="H1816" s="1135">
        <v>110</v>
      </c>
      <c r="I1816" s="1135">
        <v>103</v>
      </c>
      <c r="J1816" s="1135">
        <v>86</v>
      </c>
      <c r="K1816" s="1135">
        <v>57</v>
      </c>
      <c r="L1816" s="1135">
        <v>33</v>
      </c>
      <c r="M1816" s="1135">
        <v>14</v>
      </c>
      <c r="N1816" s="1136">
        <v>9</v>
      </c>
      <c r="O1816" s="1145">
        <v>481</v>
      </c>
      <c r="P1816" s="323"/>
      <c r="Q1816" s="323"/>
      <c r="R1816" s="326"/>
      <c r="S1816" s="326"/>
      <c r="T1816" s="327"/>
      <c r="U1816" s="326"/>
      <c r="V1816" s="328"/>
      <c r="W1816" s="323"/>
      <c r="X1816" s="323"/>
      <c r="Y1816" s="323"/>
    </row>
    <row r="1817" spans="1:25" s="1130" customFormat="1" ht="13.2" hidden="1">
      <c r="A1817" s="1319" t="s">
        <v>12</v>
      </c>
      <c r="B1817" s="1140" t="s">
        <v>15</v>
      </c>
      <c r="C1817" s="1141">
        <v>18</v>
      </c>
      <c r="D1817" s="1142">
        <v>36</v>
      </c>
      <c r="E1817" s="1142">
        <v>57</v>
      </c>
      <c r="F1817" s="1142">
        <v>108</v>
      </c>
      <c r="G1817" s="1142">
        <v>154</v>
      </c>
      <c r="H1817" s="1142">
        <v>178</v>
      </c>
      <c r="I1817" s="1142">
        <v>170</v>
      </c>
      <c r="J1817" s="1142">
        <v>137</v>
      </c>
      <c r="K1817" s="1142">
        <v>84</v>
      </c>
      <c r="L1817" s="1142">
        <v>46</v>
      </c>
      <c r="M1817" s="1142">
        <v>22</v>
      </c>
      <c r="N1817" s="1143">
        <v>14</v>
      </c>
      <c r="O1817" s="1144">
        <v>750</v>
      </c>
      <c r="P1817" s="323"/>
      <c r="Q1817" s="323"/>
      <c r="R1817" s="326"/>
      <c r="S1817" s="326"/>
      <c r="T1817" s="327"/>
      <c r="U1817" s="326"/>
      <c r="V1817" s="328"/>
      <c r="W1817" s="323"/>
      <c r="X1817" s="323"/>
      <c r="Y1817" s="323"/>
    </row>
    <row r="1818" spans="1:25" s="1130" customFormat="1" ht="13.2" hidden="1">
      <c r="A1818" s="1320"/>
      <c r="B1818" s="1140" t="s">
        <v>16</v>
      </c>
      <c r="C1818" s="1141">
        <v>17</v>
      </c>
      <c r="D1818" s="1142">
        <v>33</v>
      </c>
      <c r="E1818" s="1142">
        <v>47</v>
      </c>
      <c r="F1818" s="1142">
        <v>86</v>
      </c>
      <c r="G1818" s="1142">
        <v>129</v>
      </c>
      <c r="H1818" s="1142">
        <v>153</v>
      </c>
      <c r="I1818" s="1142">
        <v>144</v>
      </c>
      <c r="J1818" s="1142">
        <v>113</v>
      </c>
      <c r="K1818" s="1142">
        <v>68</v>
      </c>
      <c r="L1818" s="1142">
        <v>41</v>
      </c>
      <c r="M1818" s="1142">
        <v>20</v>
      </c>
      <c r="N1818" s="1143">
        <v>13</v>
      </c>
      <c r="O1818" s="1144">
        <v>632</v>
      </c>
      <c r="P1818" s="323"/>
      <c r="Q1818" s="323"/>
      <c r="R1818" s="326"/>
      <c r="S1818" s="326"/>
      <c r="T1818" s="327"/>
      <c r="U1818" s="326"/>
      <c r="V1818" s="328"/>
      <c r="W1818" s="323"/>
      <c r="X1818" s="323"/>
      <c r="Y1818" s="323"/>
    </row>
    <row r="1819" spans="1:25" s="1130" customFormat="1" ht="13.2" hidden="1">
      <c r="A1819" s="1320"/>
      <c r="B1819" s="1140" t="s">
        <v>17</v>
      </c>
      <c r="C1819" s="1141">
        <v>15</v>
      </c>
      <c r="D1819" s="1142">
        <v>30</v>
      </c>
      <c r="E1819" s="1142">
        <v>42</v>
      </c>
      <c r="F1819" s="1142">
        <v>72</v>
      </c>
      <c r="G1819" s="1142">
        <v>103</v>
      </c>
      <c r="H1819" s="1142">
        <v>125</v>
      </c>
      <c r="I1819" s="1142">
        <v>115</v>
      </c>
      <c r="J1819" s="1142">
        <v>92</v>
      </c>
      <c r="K1819" s="1142">
        <v>60</v>
      </c>
      <c r="L1819" s="1142">
        <v>37</v>
      </c>
      <c r="M1819" s="1142">
        <v>18</v>
      </c>
      <c r="N1819" s="1143">
        <v>12</v>
      </c>
      <c r="O1819" s="1144">
        <v>527</v>
      </c>
      <c r="P1819" s="323"/>
      <c r="Q1819" s="323"/>
      <c r="R1819" s="326"/>
      <c r="S1819" s="326"/>
      <c r="T1819" s="327"/>
      <c r="U1819" s="326"/>
      <c r="V1819" s="328"/>
      <c r="W1819" s="323"/>
      <c r="X1819" s="323"/>
      <c r="Y1819" s="323"/>
    </row>
    <row r="1820" spans="1:25" s="1130" customFormat="1" ht="13.2" hidden="1">
      <c r="A1820" s="1321"/>
      <c r="B1820" s="1137" t="s">
        <v>18</v>
      </c>
      <c r="C1820" s="1134">
        <v>11</v>
      </c>
      <c r="D1820" s="1135">
        <v>24</v>
      </c>
      <c r="E1820" s="1135">
        <v>31</v>
      </c>
      <c r="F1820" s="1135">
        <v>55</v>
      </c>
      <c r="G1820" s="1135">
        <v>75</v>
      </c>
      <c r="H1820" s="1135">
        <v>89</v>
      </c>
      <c r="I1820" s="1135">
        <v>83</v>
      </c>
      <c r="J1820" s="1135">
        <v>69</v>
      </c>
      <c r="K1820" s="1135">
        <v>46</v>
      </c>
      <c r="L1820" s="1135">
        <v>29</v>
      </c>
      <c r="M1820" s="1135">
        <v>13</v>
      </c>
      <c r="N1820" s="1136">
        <v>9</v>
      </c>
      <c r="O1820" s="1145">
        <v>391</v>
      </c>
      <c r="P1820" s="323"/>
      <c r="Q1820" s="323"/>
      <c r="R1820" s="326"/>
      <c r="S1820" s="326"/>
      <c r="T1820" s="327"/>
      <c r="U1820" s="326"/>
      <c r="V1820" s="328"/>
      <c r="W1820" s="323"/>
      <c r="X1820" s="323"/>
      <c r="Y1820" s="323"/>
    </row>
    <row r="1821" spans="1:25" s="1130" customFormat="1" ht="39.6" hidden="1">
      <c r="A1821" s="1146"/>
      <c r="B1821" s="1147"/>
      <c r="C1821" s="1375" t="s">
        <v>3363</v>
      </c>
      <c r="D1821" s="1376"/>
      <c r="E1821" s="1376"/>
      <c r="F1821" s="1376"/>
      <c r="G1821" s="1376"/>
      <c r="H1821" s="1376"/>
      <c r="I1821" s="1376"/>
      <c r="J1821" s="1376"/>
      <c r="K1821" s="1376"/>
      <c r="L1821" s="1376"/>
      <c r="M1821" s="1376"/>
      <c r="N1821" s="1377"/>
      <c r="O1821" s="1131" t="s">
        <v>3364</v>
      </c>
      <c r="P1821" s="323"/>
      <c r="Q1821" s="323"/>
      <c r="R1821" s="326"/>
      <c r="S1821" s="326"/>
      <c r="T1821" s="327"/>
      <c r="U1821" s="326"/>
      <c r="V1821" s="328"/>
      <c r="W1821" s="323"/>
      <c r="X1821" s="323"/>
      <c r="Y1821" s="323"/>
    </row>
    <row r="1822" spans="1:25" s="1130" customFormat="1" ht="12.75" hidden="1" customHeight="1">
      <c r="A1822" s="1148" t="s">
        <v>1894</v>
      </c>
      <c r="B1822" s="1149"/>
      <c r="C1822" s="1150">
        <v>3.1</v>
      </c>
      <c r="D1822" s="1151">
        <v>3.5</v>
      </c>
      <c r="E1822" s="1151">
        <v>6.6</v>
      </c>
      <c r="F1822" s="1151">
        <v>9.5</v>
      </c>
      <c r="G1822" s="1151">
        <v>13.7</v>
      </c>
      <c r="H1822" s="1151">
        <v>15.9</v>
      </c>
      <c r="I1822" s="1151">
        <v>18.2</v>
      </c>
      <c r="J1822" s="1151">
        <v>18.2</v>
      </c>
      <c r="K1822" s="1151">
        <v>14.6</v>
      </c>
      <c r="L1822" s="1151">
        <v>10.8</v>
      </c>
      <c r="M1822" s="1151">
        <v>6.1</v>
      </c>
      <c r="N1822" s="1152">
        <v>3.5</v>
      </c>
      <c r="O1822" s="1153">
        <v>10.4</v>
      </c>
      <c r="P1822" s="323"/>
      <c r="Q1822" s="323"/>
      <c r="R1822" s="326"/>
      <c r="S1822" s="326"/>
      <c r="T1822" s="327"/>
      <c r="U1822" s="326"/>
      <c r="V1822" s="328"/>
      <c r="W1822" s="323"/>
      <c r="X1822" s="323"/>
      <c r="Y1822" s="323"/>
    </row>
    <row r="1823" spans="1:25" s="1130" customFormat="1" ht="13.2" hidden="1">
      <c r="P1823" s="1155"/>
      <c r="Q1823" s="1129"/>
    </row>
    <row r="1824" spans="1:25" s="1130" customFormat="1" ht="13.2" hidden="1">
      <c r="P1824" s="1155"/>
      <c r="Q1824" s="1129"/>
    </row>
    <row r="1825" spans="1:25" s="1130" customFormat="1" ht="13.2" hidden="1">
      <c r="A1825" s="1129" t="s">
        <v>3373</v>
      </c>
      <c r="Q1825" s="1129"/>
    </row>
    <row r="1826" spans="1:25" s="1130" customFormat="1" ht="13.2" hidden="1">
      <c r="Q1826" s="1129"/>
    </row>
    <row r="1827" spans="1:25" s="1130" customFormat="1" ht="66" hidden="1">
      <c r="A1827" s="1314" t="s">
        <v>3374</v>
      </c>
      <c r="B1827" s="1315"/>
      <c r="C1827" s="1316" t="s">
        <v>3355</v>
      </c>
      <c r="D1827" s="1317"/>
      <c r="E1827" s="1317"/>
      <c r="F1827" s="1317"/>
      <c r="G1827" s="1317"/>
      <c r="H1827" s="1317"/>
      <c r="I1827" s="1317"/>
      <c r="J1827" s="1317"/>
      <c r="K1827" s="1317"/>
      <c r="L1827" s="1317"/>
      <c r="M1827" s="1317"/>
      <c r="N1827" s="1318"/>
      <c r="O1827" s="1131" t="s">
        <v>3356</v>
      </c>
      <c r="P1827" s="323"/>
      <c r="Q1827" s="1156">
        <v>6</v>
      </c>
      <c r="R1827" s="326"/>
      <c r="S1827" s="326"/>
      <c r="T1827" s="327"/>
      <c r="U1827" s="326"/>
      <c r="V1827" s="328"/>
      <c r="W1827" s="323"/>
      <c r="X1827" s="323"/>
      <c r="Y1827" s="323"/>
    </row>
    <row r="1828" spans="1:25" s="1130" customFormat="1" ht="13.2" hidden="1">
      <c r="A1828" s="1132" t="s">
        <v>77</v>
      </c>
      <c r="B1828" s="1133" t="s">
        <v>1795</v>
      </c>
      <c r="C1828" s="1134" t="s">
        <v>116</v>
      </c>
      <c r="D1828" s="1135" t="s">
        <v>117</v>
      </c>
      <c r="E1828" s="1135" t="s">
        <v>118</v>
      </c>
      <c r="F1828" s="1135" t="s">
        <v>119</v>
      </c>
      <c r="G1828" s="1135" t="s">
        <v>120</v>
      </c>
      <c r="H1828" s="1135" t="s">
        <v>121</v>
      </c>
      <c r="I1828" s="1135" t="s">
        <v>122</v>
      </c>
      <c r="J1828" s="1135" t="s">
        <v>123</v>
      </c>
      <c r="K1828" s="1135" t="s">
        <v>124</v>
      </c>
      <c r="L1828" s="1135" t="s">
        <v>125</v>
      </c>
      <c r="M1828" s="1135" t="s">
        <v>126</v>
      </c>
      <c r="N1828" s="1136" t="s">
        <v>127</v>
      </c>
      <c r="O1828" s="1137" t="s">
        <v>3357</v>
      </c>
      <c r="P1828" s="323"/>
      <c r="Q1828" s="323"/>
      <c r="R1828" s="326"/>
      <c r="S1828" s="326"/>
      <c r="T1828" s="327"/>
      <c r="U1828" s="326"/>
      <c r="V1828" s="328"/>
      <c r="W1828" s="323"/>
      <c r="X1828" s="323"/>
      <c r="Y1828" s="323"/>
    </row>
    <row r="1829" spans="1:25" s="1130" customFormat="1" ht="13.2" hidden="1">
      <c r="A1829" s="1138" t="s">
        <v>3358</v>
      </c>
      <c r="B1829" s="1137" t="s">
        <v>14</v>
      </c>
      <c r="C1829" s="1134">
        <v>27</v>
      </c>
      <c r="D1829" s="1135">
        <v>64</v>
      </c>
      <c r="E1829" s="1135">
        <v>88</v>
      </c>
      <c r="F1829" s="1135">
        <v>147</v>
      </c>
      <c r="G1829" s="1135">
        <v>172</v>
      </c>
      <c r="H1829" s="1135">
        <v>215</v>
      </c>
      <c r="I1829" s="1135">
        <v>202</v>
      </c>
      <c r="J1829" s="1135">
        <v>177</v>
      </c>
      <c r="K1829" s="1135">
        <v>121</v>
      </c>
      <c r="L1829" s="1135">
        <v>65</v>
      </c>
      <c r="M1829" s="1135">
        <v>31</v>
      </c>
      <c r="N1829" s="1136">
        <v>20</v>
      </c>
      <c r="O1829" s="1139">
        <v>973</v>
      </c>
      <c r="P1829" s="323"/>
      <c r="Q1829" s="323"/>
      <c r="R1829" s="326"/>
      <c r="S1829" s="326"/>
      <c r="T1829" s="327"/>
      <c r="U1829" s="326"/>
      <c r="V1829" s="328"/>
      <c r="W1829" s="323"/>
      <c r="X1829" s="323"/>
      <c r="Y1829" s="323"/>
    </row>
    <row r="1830" spans="1:25" s="1130" customFormat="1" ht="13.2" hidden="1">
      <c r="A1830" s="1319" t="s">
        <v>11</v>
      </c>
      <c r="B1830" s="1140" t="s">
        <v>15</v>
      </c>
      <c r="C1830" s="1141">
        <v>40</v>
      </c>
      <c r="D1830" s="1142">
        <v>93</v>
      </c>
      <c r="E1830" s="1142">
        <v>97</v>
      </c>
      <c r="F1830" s="1142">
        <v>158</v>
      </c>
      <c r="G1830" s="1142">
        <v>172</v>
      </c>
      <c r="H1830" s="1142">
        <v>211</v>
      </c>
      <c r="I1830" s="1142">
        <v>200</v>
      </c>
      <c r="J1830" s="1142">
        <v>186</v>
      </c>
      <c r="K1830" s="1142">
        <v>137</v>
      </c>
      <c r="L1830" s="1142">
        <v>77</v>
      </c>
      <c r="M1830" s="1142">
        <v>37</v>
      </c>
      <c r="N1830" s="1143">
        <v>27</v>
      </c>
      <c r="O1830" s="1144">
        <v>1048</v>
      </c>
      <c r="P1830" s="323"/>
      <c r="Q1830" s="323"/>
      <c r="R1830" s="326"/>
      <c r="S1830" s="326"/>
      <c r="T1830" s="327"/>
      <c r="U1830" s="326"/>
      <c r="V1830" s="328"/>
      <c r="W1830" s="323"/>
      <c r="X1830" s="323"/>
      <c r="Y1830" s="323"/>
    </row>
    <row r="1831" spans="1:25" s="1130" customFormat="1" ht="13.2" hidden="1">
      <c r="A1831" s="1320"/>
      <c r="B1831" s="1140" t="s">
        <v>16</v>
      </c>
      <c r="C1831" s="1141">
        <v>43</v>
      </c>
      <c r="D1831" s="1142">
        <v>101</v>
      </c>
      <c r="E1831" s="1142">
        <v>96</v>
      </c>
      <c r="F1831" s="1142">
        <v>153</v>
      </c>
      <c r="G1831" s="1142">
        <v>160</v>
      </c>
      <c r="H1831" s="1142">
        <v>195</v>
      </c>
      <c r="I1831" s="1142">
        <v>187</v>
      </c>
      <c r="J1831" s="1142">
        <v>178</v>
      </c>
      <c r="K1831" s="1142">
        <v>137</v>
      </c>
      <c r="L1831" s="1142">
        <v>78</v>
      </c>
      <c r="M1831" s="1142">
        <v>38</v>
      </c>
      <c r="N1831" s="1143">
        <v>28</v>
      </c>
      <c r="O1831" s="1144">
        <v>1018</v>
      </c>
      <c r="P1831" s="323"/>
      <c r="Q1831" s="323"/>
      <c r="R1831" s="326"/>
      <c r="S1831" s="326"/>
      <c r="T1831" s="327"/>
      <c r="U1831" s="326"/>
      <c r="V1831" s="328"/>
      <c r="W1831" s="323"/>
      <c r="X1831" s="323"/>
      <c r="Y1831" s="323"/>
    </row>
    <row r="1832" spans="1:25" s="1130" customFormat="1" ht="13.2" hidden="1">
      <c r="A1832" s="1320"/>
      <c r="B1832" s="1140" t="s">
        <v>17</v>
      </c>
      <c r="C1832" s="1141">
        <v>45</v>
      </c>
      <c r="D1832" s="1142">
        <v>103</v>
      </c>
      <c r="E1832" s="1142">
        <v>91</v>
      </c>
      <c r="F1832" s="1142">
        <v>141</v>
      </c>
      <c r="G1832" s="1142">
        <v>143</v>
      </c>
      <c r="H1832" s="1142">
        <v>173</v>
      </c>
      <c r="I1832" s="1142">
        <v>166</v>
      </c>
      <c r="J1832" s="1142">
        <v>163</v>
      </c>
      <c r="K1832" s="1142">
        <v>130</v>
      </c>
      <c r="L1832" s="1142">
        <v>76</v>
      </c>
      <c r="M1832" s="1142">
        <v>38</v>
      </c>
      <c r="N1832" s="1143">
        <v>29</v>
      </c>
      <c r="O1832" s="1144">
        <v>947</v>
      </c>
      <c r="P1832" s="323"/>
      <c r="Q1832" s="323"/>
      <c r="R1832" s="326"/>
      <c r="S1832" s="326"/>
      <c r="T1832" s="327"/>
      <c r="U1832" s="326"/>
      <c r="V1832" s="328"/>
      <c r="W1832" s="323"/>
      <c r="X1832" s="323"/>
      <c r="Y1832" s="323"/>
    </row>
    <row r="1833" spans="1:25" s="1130" customFormat="1" ht="13.2" hidden="1">
      <c r="A1833" s="1321"/>
      <c r="B1833" s="1137" t="s">
        <v>18</v>
      </c>
      <c r="C1833" s="1134">
        <v>42</v>
      </c>
      <c r="D1833" s="1135">
        <v>92</v>
      </c>
      <c r="E1833" s="1135">
        <v>70</v>
      </c>
      <c r="F1833" s="1135">
        <v>104</v>
      </c>
      <c r="G1833" s="1135">
        <v>98</v>
      </c>
      <c r="H1833" s="1135">
        <v>116</v>
      </c>
      <c r="I1833" s="1135">
        <v>113</v>
      </c>
      <c r="J1833" s="1135">
        <v>116</v>
      </c>
      <c r="K1833" s="1135">
        <v>100</v>
      </c>
      <c r="L1833" s="1135">
        <v>63</v>
      </c>
      <c r="M1833" s="1135">
        <v>32</v>
      </c>
      <c r="N1833" s="1136">
        <v>26</v>
      </c>
      <c r="O1833" s="1145">
        <v>708</v>
      </c>
      <c r="P1833" s="323"/>
      <c r="Q1833" s="323"/>
      <c r="R1833" s="326"/>
      <c r="S1833" s="326"/>
      <c r="T1833" s="327"/>
      <c r="U1833" s="326"/>
      <c r="V1833" s="328"/>
      <c r="W1833" s="323"/>
      <c r="X1833" s="323"/>
      <c r="Y1833" s="323"/>
    </row>
    <row r="1834" spans="1:25" s="1130" customFormat="1" ht="13.2" hidden="1">
      <c r="A1834" s="1319" t="s">
        <v>3359</v>
      </c>
      <c r="B1834" s="1140" t="s">
        <v>15</v>
      </c>
      <c r="C1834" s="1141">
        <v>37</v>
      </c>
      <c r="D1834" s="1142">
        <v>88</v>
      </c>
      <c r="E1834" s="1142">
        <v>95</v>
      </c>
      <c r="F1834" s="1142">
        <v>160</v>
      </c>
      <c r="G1834" s="1142">
        <v>172</v>
      </c>
      <c r="H1834" s="1142">
        <v>214</v>
      </c>
      <c r="I1834" s="1142">
        <v>204</v>
      </c>
      <c r="J1834" s="1142">
        <v>185</v>
      </c>
      <c r="K1834" s="1142">
        <v>135</v>
      </c>
      <c r="L1834" s="1142">
        <v>75</v>
      </c>
      <c r="M1834" s="1142">
        <v>35</v>
      </c>
      <c r="N1834" s="1143">
        <v>25</v>
      </c>
      <c r="O1834" s="1144">
        <v>1041</v>
      </c>
      <c r="P1834" s="323"/>
      <c r="Q1834" s="323"/>
      <c r="R1834" s="326"/>
      <c r="S1834" s="326"/>
      <c r="T1834" s="327"/>
      <c r="U1834" s="326"/>
      <c r="V1834" s="328"/>
      <c r="W1834" s="323"/>
      <c r="X1834" s="323"/>
      <c r="Y1834" s="323"/>
    </row>
    <row r="1835" spans="1:25" s="1130" customFormat="1" ht="13.2" hidden="1">
      <c r="A1835" s="1320"/>
      <c r="B1835" s="1140" t="s">
        <v>16</v>
      </c>
      <c r="C1835" s="1141">
        <v>40</v>
      </c>
      <c r="D1835" s="1142">
        <v>94</v>
      </c>
      <c r="E1835" s="1142">
        <v>93</v>
      </c>
      <c r="F1835" s="1142">
        <v>156</v>
      </c>
      <c r="G1835" s="1142">
        <v>162</v>
      </c>
      <c r="H1835" s="1142">
        <v>201</v>
      </c>
      <c r="I1835" s="1142">
        <v>193</v>
      </c>
      <c r="J1835" s="1142">
        <v>177</v>
      </c>
      <c r="K1835" s="1142">
        <v>134</v>
      </c>
      <c r="L1835" s="1142">
        <v>76</v>
      </c>
      <c r="M1835" s="1142">
        <v>35</v>
      </c>
      <c r="N1835" s="1143">
        <v>27</v>
      </c>
      <c r="O1835" s="1144">
        <v>1012</v>
      </c>
      <c r="P1835" s="323"/>
      <c r="Q1835" s="323"/>
      <c r="R1835" s="326"/>
      <c r="S1835" s="326"/>
      <c r="T1835" s="327"/>
      <c r="U1835" s="326"/>
      <c r="V1835" s="328"/>
      <c r="W1835" s="323"/>
      <c r="X1835" s="323"/>
      <c r="Y1835" s="323"/>
    </row>
    <row r="1836" spans="1:25" s="1130" customFormat="1" ht="13.2" hidden="1">
      <c r="A1836" s="1320"/>
      <c r="B1836" s="1140" t="s">
        <v>17</v>
      </c>
      <c r="C1836" s="1141">
        <v>41</v>
      </c>
      <c r="D1836" s="1142">
        <v>95</v>
      </c>
      <c r="E1836" s="1142">
        <v>88</v>
      </c>
      <c r="F1836" s="1142">
        <v>146</v>
      </c>
      <c r="G1836" s="1142">
        <v>146</v>
      </c>
      <c r="H1836" s="1142">
        <v>181</v>
      </c>
      <c r="I1836" s="1142">
        <v>175</v>
      </c>
      <c r="J1836" s="1142">
        <v>163</v>
      </c>
      <c r="K1836" s="1142">
        <v>127</v>
      </c>
      <c r="L1836" s="1142">
        <v>73</v>
      </c>
      <c r="M1836" s="1142">
        <v>34</v>
      </c>
      <c r="N1836" s="1143">
        <v>27</v>
      </c>
      <c r="O1836" s="1144">
        <v>945</v>
      </c>
      <c r="P1836" s="323"/>
      <c r="Q1836" s="323"/>
      <c r="R1836" s="326"/>
      <c r="S1836" s="326"/>
      <c r="T1836" s="327"/>
      <c r="U1836" s="326"/>
      <c r="V1836" s="328"/>
      <c r="W1836" s="323"/>
      <c r="X1836" s="323"/>
      <c r="Y1836" s="323"/>
    </row>
    <row r="1837" spans="1:25" s="1130" customFormat="1" ht="13.2" hidden="1">
      <c r="A1837" s="1321"/>
      <c r="B1837" s="1137" t="s">
        <v>18</v>
      </c>
      <c r="C1837" s="1134">
        <v>37</v>
      </c>
      <c r="D1837" s="1135">
        <v>83</v>
      </c>
      <c r="E1837" s="1135">
        <v>68</v>
      </c>
      <c r="F1837" s="1135">
        <v>112</v>
      </c>
      <c r="G1837" s="1135">
        <v>105</v>
      </c>
      <c r="H1837" s="1135">
        <v>129</v>
      </c>
      <c r="I1837" s="1135">
        <v>126</v>
      </c>
      <c r="J1837" s="1135">
        <v>120</v>
      </c>
      <c r="K1837" s="1135">
        <v>99</v>
      </c>
      <c r="L1837" s="1135">
        <v>60</v>
      </c>
      <c r="M1837" s="1135">
        <v>28</v>
      </c>
      <c r="N1837" s="1136">
        <v>23</v>
      </c>
      <c r="O1837" s="1145">
        <v>722</v>
      </c>
      <c r="P1837" s="323"/>
      <c r="Q1837" s="323"/>
      <c r="R1837" s="326"/>
      <c r="S1837" s="326"/>
      <c r="T1837" s="327"/>
      <c r="U1837" s="326"/>
      <c r="V1837" s="328"/>
      <c r="W1837" s="323"/>
      <c r="X1837" s="323"/>
      <c r="Y1837" s="323"/>
    </row>
    <row r="1838" spans="1:25" s="1130" customFormat="1" ht="13.2" hidden="1">
      <c r="A1838" s="1319" t="s">
        <v>3360</v>
      </c>
      <c r="B1838" s="1140" t="s">
        <v>15</v>
      </c>
      <c r="C1838" s="1141">
        <v>34</v>
      </c>
      <c r="D1838" s="1142">
        <v>78</v>
      </c>
      <c r="E1838" s="1142">
        <v>91</v>
      </c>
      <c r="F1838" s="1142">
        <v>145</v>
      </c>
      <c r="G1838" s="1142">
        <v>166</v>
      </c>
      <c r="H1838" s="1142">
        <v>204</v>
      </c>
      <c r="I1838" s="1142">
        <v>191</v>
      </c>
      <c r="J1838" s="1142">
        <v>177</v>
      </c>
      <c r="K1838" s="1142">
        <v>126</v>
      </c>
      <c r="L1838" s="1142">
        <v>70</v>
      </c>
      <c r="M1838" s="1142">
        <v>34</v>
      </c>
      <c r="N1838" s="1143">
        <v>23</v>
      </c>
      <c r="O1838" s="1144">
        <v>978</v>
      </c>
      <c r="P1838" s="323"/>
      <c r="Q1838" s="323"/>
      <c r="R1838" s="326"/>
      <c r="S1838" s="326"/>
      <c r="T1838" s="327"/>
      <c r="U1838" s="326"/>
      <c r="V1838" s="328"/>
      <c r="W1838" s="323"/>
      <c r="X1838" s="323"/>
      <c r="Y1838" s="323"/>
    </row>
    <row r="1839" spans="1:25" s="1130" customFormat="1" ht="13.2" hidden="1">
      <c r="A1839" s="1320"/>
      <c r="B1839" s="1140" t="s">
        <v>16</v>
      </c>
      <c r="C1839" s="1141">
        <v>35</v>
      </c>
      <c r="D1839" s="1142">
        <v>80</v>
      </c>
      <c r="E1839" s="1142">
        <v>87</v>
      </c>
      <c r="F1839" s="1142">
        <v>137</v>
      </c>
      <c r="G1839" s="1142">
        <v>154</v>
      </c>
      <c r="H1839" s="1142">
        <v>188</v>
      </c>
      <c r="I1839" s="1142">
        <v>176</v>
      </c>
      <c r="J1839" s="1142">
        <v>167</v>
      </c>
      <c r="K1839" s="1142">
        <v>122</v>
      </c>
      <c r="L1839" s="1142">
        <v>68</v>
      </c>
      <c r="M1839" s="1142">
        <v>34</v>
      </c>
      <c r="N1839" s="1143">
        <v>23</v>
      </c>
      <c r="O1839" s="1144">
        <v>927</v>
      </c>
      <c r="P1839" s="323"/>
      <c r="Q1839" s="323"/>
      <c r="R1839" s="326"/>
      <c r="S1839" s="326"/>
      <c r="T1839" s="327"/>
      <c r="U1839" s="326"/>
      <c r="V1839" s="328"/>
      <c r="W1839" s="323"/>
      <c r="X1839" s="323"/>
      <c r="Y1839" s="323"/>
    </row>
    <row r="1840" spans="1:25" s="1130" customFormat="1" ht="13.2" hidden="1">
      <c r="A1840" s="1320"/>
      <c r="B1840" s="1140" t="s">
        <v>17</v>
      </c>
      <c r="C1840" s="1141">
        <v>34</v>
      </c>
      <c r="D1840" s="1142">
        <v>79</v>
      </c>
      <c r="E1840" s="1142">
        <v>80</v>
      </c>
      <c r="F1840" s="1142">
        <v>124</v>
      </c>
      <c r="G1840" s="1142">
        <v>138</v>
      </c>
      <c r="H1840" s="1142">
        <v>167</v>
      </c>
      <c r="I1840" s="1142">
        <v>156</v>
      </c>
      <c r="J1840" s="1142">
        <v>152</v>
      </c>
      <c r="K1840" s="1142">
        <v>113</v>
      </c>
      <c r="L1840" s="1142">
        <v>64</v>
      </c>
      <c r="M1840" s="1142">
        <v>33</v>
      </c>
      <c r="N1840" s="1143">
        <v>22</v>
      </c>
      <c r="O1840" s="1144">
        <v>848</v>
      </c>
      <c r="P1840" s="323"/>
      <c r="Q1840" s="323"/>
      <c r="R1840" s="326"/>
      <c r="S1840" s="326"/>
      <c r="T1840" s="327"/>
      <c r="U1840" s="326"/>
      <c r="V1840" s="328"/>
      <c r="W1840" s="323"/>
      <c r="X1840" s="323"/>
      <c r="Y1840" s="323"/>
    </row>
    <row r="1841" spans="1:25" s="1130" customFormat="1" ht="13.2" hidden="1">
      <c r="A1841" s="1321"/>
      <c r="B1841" s="1137" t="s">
        <v>18</v>
      </c>
      <c r="C1841" s="1134">
        <v>29</v>
      </c>
      <c r="D1841" s="1135">
        <v>65</v>
      </c>
      <c r="E1841" s="1135">
        <v>60</v>
      </c>
      <c r="F1841" s="1135">
        <v>91</v>
      </c>
      <c r="G1841" s="1135">
        <v>97</v>
      </c>
      <c r="H1841" s="1135">
        <v>117</v>
      </c>
      <c r="I1841" s="1135">
        <v>110</v>
      </c>
      <c r="J1841" s="1135">
        <v>110</v>
      </c>
      <c r="K1841" s="1135">
        <v>85</v>
      </c>
      <c r="L1841" s="1135">
        <v>50</v>
      </c>
      <c r="M1841" s="1135">
        <v>27</v>
      </c>
      <c r="N1841" s="1136">
        <v>18</v>
      </c>
      <c r="O1841" s="1145">
        <v>626</v>
      </c>
      <c r="P1841" s="323"/>
      <c r="Q1841" s="323"/>
      <c r="R1841" s="326"/>
      <c r="S1841" s="326"/>
      <c r="T1841" s="327"/>
      <c r="U1841" s="326"/>
      <c r="V1841" s="328"/>
      <c r="W1841" s="323"/>
      <c r="X1841" s="323"/>
      <c r="Y1841" s="323"/>
    </row>
    <row r="1842" spans="1:25" s="1130" customFormat="1" ht="13.2" hidden="1">
      <c r="A1842" s="1319" t="s">
        <v>980</v>
      </c>
      <c r="B1842" s="1140" t="s">
        <v>15</v>
      </c>
      <c r="C1842" s="1141">
        <v>28</v>
      </c>
      <c r="D1842" s="1142">
        <v>67</v>
      </c>
      <c r="E1842" s="1142">
        <v>85</v>
      </c>
      <c r="F1842" s="1142">
        <v>148</v>
      </c>
      <c r="G1842" s="1142">
        <v>164</v>
      </c>
      <c r="H1842" s="1142">
        <v>209</v>
      </c>
      <c r="I1842" s="1142">
        <v>198</v>
      </c>
      <c r="J1842" s="1142">
        <v>171</v>
      </c>
      <c r="K1842" s="1142">
        <v>120</v>
      </c>
      <c r="L1842" s="1142">
        <v>65</v>
      </c>
      <c r="M1842" s="1142">
        <v>29</v>
      </c>
      <c r="N1842" s="1143">
        <v>20</v>
      </c>
      <c r="O1842" s="1144">
        <v>953</v>
      </c>
      <c r="P1842" s="323"/>
      <c r="Q1842" s="323"/>
      <c r="R1842" s="326"/>
      <c r="S1842" s="326"/>
      <c r="T1842" s="327"/>
      <c r="U1842" s="326"/>
      <c r="V1842" s="328"/>
      <c r="W1842" s="323"/>
      <c r="X1842" s="323"/>
      <c r="Y1842" s="323"/>
    </row>
    <row r="1843" spans="1:25" s="1130" customFormat="1" ht="13.2" hidden="1">
      <c r="A1843" s="1320"/>
      <c r="B1843" s="1140" t="s">
        <v>16</v>
      </c>
      <c r="C1843" s="1141">
        <v>27</v>
      </c>
      <c r="D1843" s="1142">
        <v>66</v>
      </c>
      <c r="E1843" s="1142">
        <v>80</v>
      </c>
      <c r="F1843" s="1142">
        <v>141</v>
      </c>
      <c r="G1843" s="1142">
        <v>153</v>
      </c>
      <c r="H1843" s="1142">
        <v>196</v>
      </c>
      <c r="I1843" s="1142">
        <v>185</v>
      </c>
      <c r="J1843" s="1142">
        <v>160</v>
      </c>
      <c r="K1843" s="1142">
        <v>113</v>
      </c>
      <c r="L1843" s="1142">
        <v>62</v>
      </c>
      <c r="M1843" s="1142">
        <v>27</v>
      </c>
      <c r="N1843" s="1143">
        <v>19</v>
      </c>
      <c r="O1843" s="1144">
        <v>899</v>
      </c>
      <c r="P1843" s="323"/>
      <c r="Q1843" s="323"/>
      <c r="R1843" s="326"/>
      <c r="S1843" s="326"/>
      <c r="T1843" s="327"/>
      <c r="U1843" s="326"/>
      <c r="V1843" s="328"/>
      <c r="W1843" s="323"/>
      <c r="X1843" s="323"/>
      <c r="Y1843" s="323"/>
    </row>
    <row r="1844" spans="1:25" s="1130" customFormat="1" ht="13.2" hidden="1">
      <c r="A1844" s="1320"/>
      <c r="B1844" s="1140" t="s">
        <v>17</v>
      </c>
      <c r="C1844" s="1141">
        <v>26</v>
      </c>
      <c r="D1844" s="1142">
        <v>63</v>
      </c>
      <c r="E1844" s="1142">
        <v>73</v>
      </c>
      <c r="F1844" s="1142">
        <v>131</v>
      </c>
      <c r="G1844" s="1142">
        <v>138</v>
      </c>
      <c r="H1844" s="1142">
        <v>177</v>
      </c>
      <c r="I1844" s="1142">
        <v>168</v>
      </c>
      <c r="J1844" s="1142">
        <v>146</v>
      </c>
      <c r="K1844" s="1142">
        <v>105</v>
      </c>
      <c r="L1844" s="1142">
        <v>57</v>
      </c>
      <c r="M1844" s="1142">
        <v>24</v>
      </c>
      <c r="N1844" s="1143">
        <v>18</v>
      </c>
      <c r="O1844" s="1144">
        <v>823</v>
      </c>
      <c r="P1844" s="323"/>
      <c r="Q1844" s="323"/>
      <c r="R1844" s="326"/>
      <c r="S1844" s="326"/>
      <c r="T1844" s="327"/>
      <c r="U1844" s="326"/>
      <c r="V1844" s="328"/>
      <c r="W1844" s="323"/>
      <c r="X1844" s="323"/>
      <c r="Y1844" s="323"/>
    </row>
    <row r="1845" spans="1:25" s="1130" customFormat="1" ht="13.2" hidden="1">
      <c r="A1845" s="1321"/>
      <c r="B1845" s="1137" t="s">
        <v>18</v>
      </c>
      <c r="C1845" s="1134">
        <v>21</v>
      </c>
      <c r="D1845" s="1135">
        <v>52</v>
      </c>
      <c r="E1845" s="1135">
        <v>55</v>
      </c>
      <c r="F1845" s="1135">
        <v>101</v>
      </c>
      <c r="G1845" s="1135">
        <v>102</v>
      </c>
      <c r="H1845" s="1135">
        <v>133</v>
      </c>
      <c r="I1845" s="1135">
        <v>126</v>
      </c>
      <c r="J1845" s="1135">
        <v>110</v>
      </c>
      <c r="K1845" s="1135">
        <v>81</v>
      </c>
      <c r="L1845" s="1135">
        <v>45</v>
      </c>
      <c r="M1845" s="1135">
        <v>18</v>
      </c>
      <c r="N1845" s="1136">
        <v>14</v>
      </c>
      <c r="O1845" s="1145">
        <v>626</v>
      </c>
      <c r="P1845" s="323"/>
      <c r="Q1845" s="323"/>
      <c r="R1845" s="326"/>
      <c r="S1845" s="326"/>
      <c r="T1845" s="327"/>
      <c r="U1845" s="326"/>
      <c r="V1845" s="328"/>
      <c r="W1845" s="323"/>
      <c r="X1845" s="323"/>
      <c r="Y1845" s="323"/>
    </row>
    <row r="1846" spans="1:25" s="1130" customFormat="1" ht="13.2" hidden="1">
      <c r="A1846" s="1319" t="s">
        <v>981</v>
      </c>
      <c r="B1846" s="1140" t="s">
        <v>15</v>
      </c>
      <c r="C1846" s="1141">
        <v>24</v>
      </c>
      <c r="D1846" s="1142">
        <v>56</v>
      </c>
      <c r="E1846" s="1142">
        <v>79</v>
      </c>
      <c r="F1846" s="1142">
        <v>129</v>
      </c>
      <c r="G1846" s="1142">
        <v>155</v>
      </c>
      <c r="H1846" s="1142">
        <v>193</v>
      </c>
      <c r="I1846" s="1142">
        <v>179</v>
      </c>
      <c r="J1846" s="1142">
        <v>160</v>
      </c>
      <c r="K1846" s="1142">
        <v>109</v>
      </c>
      <c r="L1846" s="1142">
        <v>59</v>
      </c>
      <c r="M1846" s="1142">
        <v>28</v>
      </c>
      <c r="N1846" s="1143">
        <v>18</v>
      </c>
      <c r="O1846" s="1144">
        <v>869</v>
      </c>
      <c r="P1846" s="323"/>
      <c r="Q1846" s="323"/>
      <c r="R1846" s="326"/>
      <c r="S1846" s="326"/>
      <c r="T1846" s="327"/>
      <c r="U1846" s="326"/>
      <c r="V1846" s="328"/>
      <c r="W1846" s="323"/>
      <c r="X1846" s="323"/>
      <c r="Y1846" s="323"/>
    </row>
    <row r="1847" spans="1:25" s="1130" customFormat="1" ht="13.2" hidden="1">
      <c r="A1847" s="1320"/>
      <c r="B1847" s="1140" t="s">
        <v>16</v>
      </c>
      <c r="C1847" s="1141">
        <v>22</v>
      </c>
      <c r="D1847" s="1142">
        <v>52</v>
      </c>
      <c r="E1847" s="1142">
        <v>72</v>
      </c>
      <c r="F1847" s="1142">
        <v>117</v>
      </c>
      <c r="G1847" s="1142">
        <v>141</v>
      </c>
      <c r="H1847" s="1142">
        <v>175</v>
      </c>
      <c r="I1847" s="1142">
        <v>161</v>
      </c>
      <c r="J1847" s="1142">
        <v>146</v>
      </c>
      <c r="K1847" s="1142">
        <v>100</v>
      </c>
      <c r="L1847" s="1142">
        <v>54</v>
      </c>
      <c r="M1847" s="1142">
        <v>26</v>
      </c>
      <c r="N1847" s="1143">
        <v>16</v>
      </c>
      <c r="O1847" s="1144">
        <v>791</v>
      </c>
      <c r="P1847" s="323"/>
      <c r="Q1847" s="323"/>
      <c r="R1847" s="326"/>
      <c r="S1847" s="326"/>
      <c r="T1847" s="327"/>
      <c r="U1847" s="326"/>
      <c r="V1847" s="328"/>
      <c r="W1847" s="323"/>
      <c r="X1847" s="323"/>
      <c r="Y1847" s="323"/>
    </row>
    <row r="1848" spans="1:25" s="1130" customFormat="1" ht="13.2" hidden="1">
      <c r="A1848" s="1320"/>
      <c r="B1848" s="1140" t="s">
        <v>17</v>
      </c>
      <c r="C1848" s="1141">
        <v>20</v>
      </c>
      <c r="D1848" s="1142">
        <v>47</v>
      </c>
      <c r="E1848" s="1142">
        <v>64</v>
      </c>
      <c r="F1848" s="1142">
        <v>104</v>
      </c>
      <c r="G1848" s="1142">
        <v>125</v>
      </c>
      <c r="H1848" s="1142">
        <v>155</v>
      </c>
      <c r="I1848" s="1142">
        <v>142</v>
      </c>
      <c r="J1848" s="1142">
        <v>131</v>
      </c>
      <c r="K1848" s="1142">
        <v>89</v>
      </c>
      <c r="L1848" s="1142">
        <v>49</v>
      </c>
      <c r="M1848" s="1142">
        <v>24</v>
      </c>
      <c r="N1848" s="1143">
        <v>14</v>
      </c>
      <c r="O1848" s="1144">
        <v>705</v>
      </c>
      <c r="P1848" s="323"/>
      <c r="Q1848" s="323"/>
      <c r="R1848" s="326"/>
      <c r="S1848" s="326"/>
      <c r="T1848" s="327"/>
      <c r="U1848" s="326"/>
      <c r="V1848" s="328"/>
      <c r="W1848" s="323"/>
      <c r="X1848" s="323"/>
      <c r="Y1848" s="323"/>
    </row>
    <row r="1849" spans="1:25" s="1130" customFormat="1" ht="13.2" hidden="1">
      <c r="A1849" s="1321"/>
      <c r="B1849" s="1137" t="s">
        <v>18</v>
      </c>
      <c r="C1849" s="1134">
        <v>15</v>
      </c>
      <c r="D1849" s="1135">
        <v>36</v>
      </c>
      <c r="E1849" s="1135">
        <v>47</v>
      </c>
      <c r="F1849" s="1135">
        <v>76</v>
      </c>
      <c r="G1849" s="1135">
        <v>90</v>
      </c>
      <c r="H1849" s="1135">
        <v>112</v>
      </c>
      <c r="I1849" s="1135">
        <v>103</v>
      </c>
      <c r="J1849" s="1135">
        <v>96</v>
      </c>
      <c r="K1849" s="1135">
        <v>66</v>
      </c>
      <c r="L1849" s="1135">
        <v>36</v>
      </c>
      <c r="M1849" s="1135">
        <v>18</v>
      </c>
      <c r="N1849" s="1136">
        <v>10</v>
      </c>
      <c r="O1849" s="1145">
        <v>516</v>
      </c>
      <c r="P1849" s="323"/>
      <c r="Q1849" s="323"/>
      <c r="R1849" s="326"/>
      <c r="S1849" s="326"/>
      <c r="T1849" s="327"/>
      <c r="U1849" s="326"/>
      <c r="V1849" s="328"/>
      <c r="W1849" s="323"/>
      <c r="X1849" s="323"/>
      <c r="Y1849" s="323"/>
    </row>
    <row r="1850" spans="1:25" s="1130" customFormat="1" ht="13.2" hidden="1">
      <c r="A1850" s="1319" t="s">
        <v>3361</v>
      </c>
      <c r="B1850" s="1140" t="s">
        <v>15</v>
      </c>
      <c r="C1850" s="1141">
        <v>18</v>
      </c>
      <c r="D1850" s="1142">
        <v>38</v>
      </c>
      <c r="E1850" s="1142">
        <v>69</v>
      </c>
      <c r="F1850" s="1142">
        <v>114</v>
      </c>
      <c r="G1850" s="1142">
        <v>144</v>
      </c>
      <c r="H1850" s="1142">
        <v>183</v>
      </c>
      <c r="I1850" s="1142">
        <v>168</v>
      </c>
      <c r="J1850" s="1142">
        <v>143</v>
      </c>
      <c r="K1850" s="1142">
        <v>92</v>
      </c>
      <c r="L1850" s="1142">
        <v>50</v>
      </c>
      <c r="M1850" s="1142">
        <v>24</v>
      </c>
      <c r="N1850" s="1143">
        <v>15</v>
      </c>
      <c r="O1850" s="1144">
        <v>774</v>
      </c>
      <c r="P1850" s="323"/>
      <c r="Q1850" s="323"/>
      <c r="R1850" s="326"/>
      <c r="S1850" s="326"/>
      <c r="T1850" s="327"/>
      <c r="U1850" s="326"/>
      <c r="V1850" s="328"/>
      <c r="W1850" s="323"/>
      <c r="X1850" s="323"/>
      <c r="Y1850" s="323"/>
    </row>
    <row r="1851" spans="1:25" s="1130" customFormat="1" ht="13.2" hidden="1">
      <c r="A1851" s="1320"/>
      <c r="B1851" s="1140" t="s">
        <v>16</v>
      </c>
      <c r="C1851" s="1141">
        <v>16</v>
      </c>
      <c r="D1851" s="1142">
        <v>32</v>
      </c>
      <c r="E1851" s="1142">
        <v>59</v>
      </c>
      <c r="F1851" s="1142">
        <v>97</v>
      </c>
      <c r="G1851" s="1142">
        <v>125</v>
      </c>
      <c r="H1851" s="1142">
        <v>158</v>
      </c>
      <c r="I1851" s="1142">
        <v>145</v>
      </c>
      <c r="J1851" s="1142">
        <v>123</v>
      </c>
      <c r="K1851" s="1142">
        <v>79</v>
      </c>
      <c r="L1851" s="1142">
        <v>43</v>
      </c>
      <c r="M1851" s="1142">
        <v>21</v>
      </c>
      <c r="N1851" s="1143">
        <v>14</v>
      </c>
      <c r="O1851" s="1144">
        <v>668</v>
      </c>
      <c r="P1851" s="323"/>
      <c r="Q1851" s="323"/>
      <c r="R1851" s="326"/>
      <c r="S1851" s="326"/>
      <c r="T1851" s="327"/>
      <c r="U1851" s="326"/>
      <c r="V1851" s="328"/>
      <c r="W1851" s="323"/>
      <c r="X1851" s="323"/>
      <c r="Y1851" s="323"/>
    </row>
    <row r="1852" spans="1:25" s="1130" customFormat="1" ht="13.2" hidden="1">
      <c r="A1852" s="1320"/>
      <c r="B1852" s="1140" t="s">
        <v>17</v>
      </c>
      <c r="C1852" s="1141">
        <v>15</v>
      </c>
      <c r="D1852" s="1142">
        <v>29</v>
      </c>
      <c r="E1852" s="1142">
        <v>51</v>
      </c>
      <c r="F1852" s="1142">
        <v>84</v>
      </c>
      <c r="G1852" s="1142">
        <v>107</v>
      </c>
      <c r="H1852" s="1142">
        <v>135</v>
      </c>
      <c r="I1852" s="1142">
        <v>124</v>
      </c>
      <c r="J1852" s="1142">
        <v>105</v>
      </c>
      <c r="K1852" s="1142">
        <v>68</v>
      </c>
      <c r="L1852" s="1142">
        <v>38</v>
      </c>
      <c r="M1852" s="1142">
        <v>19</v>
      </c>
      <c r="N1852" s="1143">
        <v>12</v>
      </c>
      <c r="O1852" s="1144">
        <v>575</v>
      </c>
      <c r="P1852" s="323"/>
      <c r="Q1852" s="323"/>
      <c r="R1852" s="326"/>
      <c r="S1852" s="326"/>
      <c r="T1852" s="327"/>
      <c r="U1852" s="326"/>
      <c r="V1852" s="328"/>
      <c r="W1852" s="323"/>
      <c r="X1852" s="323"/>
      <c r="Y1852" s="323"/>
    </row>
    <row r="1853" spans="1:25" s="1130" customFormat="1" ht="13.2" hidden="1">
      <c r="A1853" s="1321"/>
      <c r="B1853" s="1137" t="s">
        <v>18</v>
      </c>
      <c r="C1853" s="1134">
        <v>11</v>
      </c>
      <c r="D1853" s="1135">
        <v>23</v>
      </c>
      <c r="E1853" s="1135">
        <v>38</v>
      </c>
      <c r="F1853" s="1135">
        <v>62</v>
      </c>
      <c r="G1853" s="1135">
        <v>77</v>
      </c>
      <c r="H1853" s="1135">
        <v>98</v>
      </c>
      <c r="I1853" s="1135">
        <v>89</v>
      </c>
      <c r="J1853" s="1135">
        <v>76</v>
      </c>
      <c r="K1853" s="1135">
        <v>51</v>
      </c>
      <c r="L1853" s="1135">
        <v>28</v>
      </c>
      <c r="M1853" s="1135">
        <v>14</v>
      </c>
      <c r="N1853" s="1136">
        <v>9</v>
      </c>
      <c r="O1853" s="1145">
        <v>421</v>
      </c>
      <c r="P1853" s="323"/>
      <c r="Q1853" s="323"/>
      <c r="R1853" s="326"/>
      <c r="S1853" s="326"/>
      <c r="T1853" s="327"/>
      <c r="U1853" s="326"/>
      <c r="V1853" s="328"/>
      <c r="W1853" s="323"/>
      <c r="X1853" s="323"/>
      <c r="Y1853" s="323"/>
    </row>
    <row r="1854" spans="1:25" s="1130" customFormat="1" ht="13.2" hidden="1">
      <c r="A1854" s="1319" t="s">
        <v>3362</v>
      </c>
      <c r="B1854" s="1140" t="s">
        <v>15</v>
      </c>
      <c r="C1854" s="1141">
        <v>19</v>
      </c>
      <c r="D1854" s="1142">
        <v>44</v>
      </c>
      <c r="E1854" s="1142">
        <v>73</v>
      </c>
      <c r="F1854" s="1142">
        <v>128</v>
      </c>
      <c r="G1854" s="1142">
        <v>152</v>
      </c>
      <c r="H1854" s="1142">
        <v>196</v>
      </c>
      <c r="I1854" s="1142">
        <v>183</v>
      </c>
      <c r="J1854" s="1142">
        <v>151</v>
      </c>
      <c r="K1854" s="1142">
        <v>99</v>
      </c>
      <c r="L1854" s="1142">
        <v>53</v>
      </c>
      <c r="M1854" s="1142">
        <v>24</v>
      </c>
      <c r="N1854" s="1143">
        <v>15</v>
      </c>
      <c r="O1854" s="1144">
        <v>832</v>
      </c>
      <c r="P1854" s="323"/>
      <c r="Q1854" s="323"/>
      <c r="R1854" s="326"/>
      <c r="S1854" s="326"/>
      <c r="T1854" s="327"/>
      <c r="U1854" s="326"/>
      <c r="V1854" s="328"/>
      <c r="W1854" s="323"/>
      <c r="X1854" s="323"/>
      <c r="Y1854" s="323"/>
    </row>
    <row r="1855" spans="1:25" s="1130" customFormat="1" ht="13.2" hidden="1">
      <c r="A1855" s="1320"/>
      <c r="B1855" s="1140" t="s">
        <v>16</v>
      </c>
      <c r="C1855" s="1141">
        <v>17</v>
      </c>
      <c r="D1855" s="1142">
        <v>37</v>
      </c>
      <c r="E1855" s="1142">
        <v>64</v>
      </c>
      <c r="F1855" s="1142">
        <v>114</v>
      </c>
      <c r="G1855" s="1142">
        <v>134</v>
      </c>
      <c r="H1855" s="1142">
        <v>176</v>
      </c>
      <c r="I1855" s="1142">
        <v>164</v>
      </c>
      <c r="J1855" s="1142">
        <v>133</v>
      </c>
      <c r="K1855" s="1142">
        <v>87</v>
      </c>
      <c r="L1855" s="1142">
        <v>47</v>
      </c>
      <c r="M1855" s="1142">
        <v>21</v>
      </c>
      <c r="N1855" s="1143">
        <v>14</v>
      </c>
      <c r="O1855" s="1144">
        <v>738</v>
      </c>
      <c r="P1855" s="323"/>
      <c r="Q1855" s="323"/>
      <c r="R1855" s="326"/>
      <c r="S1855" s="326"/>
      <c r="T1855" s="327"/>
      <c r="U1855" s="326"/>
      <c r="V1855" s="328"/>
      <c r="W1855" s="323"/>
      <c r="X1855" s="323"/>
      <c r="Y1855" s="323"/>
    </row>
    <row r="1856" spans="1:25" s="1130" customFormat="1" ht="13.2" hidden="1">
      <c r="A1856" s="1320"/>
      <c r="B1856" s="1140" t="s">
        <v>17</v>
      </c>
      <c r="C1856" s="1141">
        <v>15</v>
      </c>
      <c r="D1856" s="1142">
        <v>33</v>
      </c>
      <c r="E1856" s="1142">
        <v>56</v>
      </c>
      <c r="F1856" s="1142">
        <v>101</v>
      </c>
      <c r="G1856" s="1142">
        <v>117</v>
      </c>
      <c r="H1856" s="1142">
        <v>155</v>
      </c>
      <c r="I1856" s="1142">
        <v>144</v>
      </c>
      <c r="J1856" s="1142">
        <v>116</v>
      </c>
      <c r="K1856" s="1142">
        <v>77</v>
      </c>
      <c r="L1856" s="1142">
        <v>41</v>
      </c>
      <c r="M1856" s="1142">
        <v>19</v>
      </c>
      <c r="N1856" s="1143">
        <v>12</v>
      </c>
      <c r="O1856" s="1144">
        <v>648</v>
      </c>
      <c r="P1856" s="323"/>
      <c r="Q1856" s="323"/>
      <c r="R1856" s="326"/>
      <c r="S1856" s="326"/>
      <c r="T1856" s="327"/>
      <c r="U1856" s="326"/>
      <c r="V1856" s="328"/>
      <c r="W1856" s="323"/>
      <c r="X1856" s="323"/>
      <c r="Y1856" s="323"/>
    </row>
    <row r="1857" spans="1:25" s="1130" customFormat="1" ht="13.2" hidden="1">
      <c r="A1857" s="1321"/>
      <c r="B1857" s="1137" t="s">
        <v>18</v>
      </c>
      <c r="C1857" s="1134">
        <v>12</v>
      </c>
      <c r="D1857" s="1135">
        <v>27</v>
      </c>
      <c r="E1857" s="1135">
        <v>42</v>
      </c>
      <c r="F1857" s="1135">
        <v>75</v>
      </c>
      <c r="G1857" s="1135">
        <v>86</v>
      </c>
      <c r="H1857" s="1135">
        <v>114</v>
      </c>
      <c r="I1857" s="1135">
        <v>105</v>
      </c>
      <c r="J1857" s="1135">
        <v>86</v>
      </c>
      <c r="K1857" s="1135">
        <v>58</v>
      </c>
      <c r="L1857" s="1135">
        <v>31</v>
      </c>
      <c r="M1857" s="1135">
        <v>14</v>
      </c>
      <c r="N1857" s="1136">
        <v>9</v>
      </c>
      <c r="O1857" s="1145">
        <v>482</v>
      </c>
      <c r="P1857" s="323"/>
      <c r="Q1857" s="323"/>
      <c r="R1857" s="326"/>
      <c r="S1857" s="326"/>
      <c r="T1857" s="327"/>
      <c r="U1857" s="326"/>
      <c r="V1857" s="328"/>
      <c r="W1857" s="323"/>
      <c r="X1857" s="323"/>
      <c r="Y1857" s="323"/>
    </row>
    <row r="1858" spans="1:25" s="1130" customFormat="1" ht="13.2" hidden="1">
      <c r="A1858" s="1319" t="s">
        <v>12</v>
      </c>
      <c r="B1858" s="1140" t="s">
        <v>15</v>
      </c>
      <c r="C1858" s="1141">
        <v>18</v>
      </c>
      <c r="D1858" s="1142">
        <v>32</v>
      </c>
      <c r="E1858" s="1142">
        <v>65</v>
      </c>
      <c r="F1858" s="1142">
        <v>113</v>
      </c>
      <c r="G1858" s="1142">
        <v>143</v>
      </c>
      <c r="H1858" s="1142">
        <v>185</v>
      </c>
      <c r="I1858" s="1142">
        <v>171</v>
      </c>
      <c r="J1858" s="1142">
        <v>139</v>
      </c>
      <c r="K1858" s="1142">
        <v>86</v>
      </c>
      <c r="L1858" s="1142">
        <v>45</v>
      </c>
      <c r="M1858" s="1142">
        <v>23</v>
      </c>
      <c r="N1858" s="1143">
        <v>15</v>
      </c>
      <c r="O1858" s="1144">
        <v>757</v>
      </c>
      <c r="P1858" s="323"/>
      <c r="Q1858" s="323"/>
      <c r="R1858" s="326"/>
      <c r="S1858" s="326"/>
      <c r="T1858" s="327"/>
      <c r="U1858" s="326"/>
      <c r="V1858" s="328"/>
      <c r="W1858" s="323"/>
      <c r="X1858" s="323"/>
      <c r="Y1858" s="323"/>
    </row>
    <row r="1859" spans="1:25" s="1130" customFormat="1" ht="13.2" hidden="1">
      <c r="A1859" s="1320"/>
      <c r="B1859" s="1140" t="s">
        <v>16</v>
      </c>
      <c r="C1859" s="1141">
        <v>16</v>
      </c>
      <c r="D1859" s="1142">
        <v>29</v>
      </c>
      <c r="E1859" s="1142">
        <v>54</v>
      </c>
      <c r="F1859" s="1142">
        <v>90</v>
      </c>
      <c r="G1859" s="1142">
        <v>121</v>
      </c>
      <c r="H1859" s="1142">
        <v>159</v>
      </c>
      <c r="I1859" s="1142">
        <v>146</v>
      </c>
      <c r="J1859" s="1142">
        <v>113</v>
      </c>
      <c r="K1859" s="1142">
        <v>68</v>
      </c>
      <c r="L1859" s="1142">
        <v>41</v>
      </c>
      <c r="M1859" s="1142">
        <v>21</v>
      </c>
      <c r="N1859" s="1143">
        <v>13</v>
      </c>
      <c r="O1859" s="1144">
        <v>638</v>
      </c>
      <c r="P1859" s="323"/>
      <c r="Q1859" s="323"/>
      <c r="R1859" s="326"/>
      <c r="S1859" s="326"/>
      <c r="T1859" s="327"/>
      <c r="U1859" s="326"/>
      <c r="V1859" s="328"/>
      <c r="W1859" s="323"/>
      <c r="X1859" s="323"/>
      <c r="Y1859" s="323"/>
    </row>
    <row r="1860" spans="1:25" s="1130" customFormat="1" ht="13.2" hidden="1">
      <c r="A1860" s="1320"/>
      <c r="B1860" s="1140" t="s">
        <v>17</v>
      </c>
      <c r="C1860" s="1141">
        <v>15</v>
      </c>
      <c r="D1860" s="1142">
        <v>26</v>
      </c>
      <c r="E1860" s="1142">
        <v>48</v>
      </c>
      <c r="F1860" s="1142">
        <v>76</v>
      </c>
      <c r="G1860" s="1142">
        <v>97</v>
      </c>
      <c r="H1860" s="1142">
        <v>130</v>
      </c>
      <c r="I1860" s="1142">
        <v>118</v>
      </c>
      <c r="J1860" s="1142">
        <v>91</v>
      </c>
      <c r="K1860" s="1142">
        <v>60</v>
      </c>
      <c r="L1860" s="1142">
        <v>36</v>
      </c>
      <c r="M1860" s="1142">
        <v>18</v>
      </c>
      <c r="N1860" s="1143">
        <v>12</v>
      </c>
      <c r="O1860" s="1144">
        <v>531</v>
      </c>
      <c r="P1860" s="323"/>
      <c r="Q1860" s="323"/>
      <c r="R1860" s="326"/>
      <c r="S1860" s="326"/>
      <c r="T1860" s="327"/>
      <c r="U1860" s="326"/>
      <c r="V1860" s="328"/>
      <c r="W1860" s="323"/>
      <c r="X1860" s="323"/>
      <c r="Y1860" s="323"/>
    </row>
    <row r="1861" spans="1:25" s="1130" customFormat="1" ht="13.2" hidden="1">
      <c r="A1861" s="1321"/>
      <c r="B1861" s="1137" t="s">
        <v>18</v>
      </c>
      <c r="C1861" s="1134">
        <v>11</v>
      </c>
      <c r="D1861" s="1135">
        <v>22</v>
      </c>
      <c r="E1861" s="1135">
        <v>36</v>
      </c>
      <c r="F1861" s="1135">
        <v>58</v>
      </c>
      <c r="G1861" s="1135">
        <v>70</v>
      </c>
      <c r="H1861" s="1135">
        <v>92</v>
      </c>
      <c r="I1861" s="1135">
        <v>84</v>
      </c>
      <c r="J1861" s="1135">
        <v>69</v>
      </c>
      <c r="K1861" s="1135">
        <v>47</v>
      </c>
      <c r="L1861" s="1135">
        <v>27</v>
      </c>
      <c r="M1861" s="1135">
        <v>14</v>
      </c>
      <c r="N1861" s="1136">
        <v>9</v>
      </c>
      <c r="O1861" s="1145">
        <v>394</v>
      </c>
      <c r="P1861" s="323"/>
      <c r="Q1861" s="323"/>
      <c r="R1861" s="326"/>
      <c r="S1861" s="326"/>
      <c r="T1861" s="327"/>
      <c r="U1861" s="326"/>
      <c r="V1861" s="328"/>
      <c r="W1861" s="323"/>
      <c r="X1861" s="323"/>
      <c r="Y1861" s="323"/>
    </row>
    <row r="1862" spans="1:25" s="1130" customFormat="1" ht="39.6" hidden="1">
      <c r="A1862" s="1146"/>
      <c r="B1862" s="1147"/>
      <c r="C1862" s="1375" t="s">
        <v>3363</v>
      </c>
      <c r="D1862" s="1376"/>
      <c r="E1862" s="1376"/>
      <c r="F1862" s="1376"/>
      <c r="G1862" s="1376"/>
      <c r="H1862" s="1376"/>
      <c r="I1862" s="1376"/>
      <c r="J1862" s="1376"/>
      <c r="K1862" s="1376"/>
      <c r="L1862" s="1376"/>
      <c r="M1862" s="1376"/>
      <c r="N1862" s="1377"/>
      <c r="O1862" s="1131" t="s">
        <v>3364</v>
      </c>
      <c r="P1862" s="323"/>
      <c r="Q1862" s="323"/>
      <c r="R1862" s="326"/>
      <c r="S1862" s="326"/>
      <c r="T1862" s="327"/>
      <c r="U1862" s="326"/>
      <c r="V1862" s="328"/>
      <c r="W1862" s="323"/>
      <c r="X1862" s="323"/>
      <c r="Y1862" s="323"/>
    </row>
    <row r="1863" spans="1:25" s="1130" customFormat="1" ht="12.75" hidden="1" customHeight="1">
      <c r="A1863" s="1148" t="s">
        <v>1894</v>
      </c>
      <c r="B1863" s="1149"/>
      <c r="C1863" s="1150">
        <v>0.1</v>
      </c>
      <c r="D1863" s="1151">
        <v>0.5</v>
      </c>
      <c r="E1863" s="1151">
        <v>3.6</v>
      </c>
      <c r="F1863" s="1151">
        <v>7</v>
      </c>
      <c r="G1863" s="1151">
        <v>11.5</v>
      </c>
      <c r="H1863" s="1151">
        <v>14</v>
      </c>
      <c r="I1863" s="1151">
        <v>16.100000000000001</v>
      </c>
      <c r="J1863" s="1151">
        <v>16</v>
      </c>
      <c r="K1863" s="1151">
        <v>12.3</v>
      </c>
      <c r="L1863" s="1151">
        <v>8.1</v>
      </c>
      <c r="M1863" s="1151">
        <v>3.2</v>
      </c>
      <c r="N1863" s="1152">
        <v>0.6</v>
      </c>
      <c r="O1863" s="1153">
        <v>7.8</v>
      </c>
      <c r="P1863" s="323"/>
      <c r="Q1863" s="323"/>
      <c r="R1863" s="326"/>
      <c r="S1863" s="326"/>
      <c r="T1863" s="327"/>
      <c r="U1863" s="326"/>
      <c r="V1863" s="328"/>
      <c r="W1863" s="323"/>
      <c r="X1863" s="323"/>
      <c r="Y1863" s="323"/>
    </row>
    <row r="1864" spans="1:25" s="1130" customFormat="1" ht="13.2" hidden="1">
      <c r="P1864" s="1155"/>
      <c r="Q1864" s="1129"/>
    </row>
    <row r="1865" spans="1:25" s="1130" customFormat="1" ht="13.2" hidden="1">
      <c r="P1865" s="1155"/>
      <c r="Q1865" s="1129"/>
    </row>
    <row r="1866" spans="1:25" s="1130" customFormat="1" ht="13.2" hidden="1">
      <c r="A1866" s="1129" t="s">
        <v>3375</v>
      </c>
      <c r="Q1866" s="1129"/>
    </row>
    <row r="1867" spans="1:25" s="1130" customFormat="1" ht="13.2" hidden="1">
      <c r="Q1867" s="1129"/>
    </row>
    <row r="1868" spans="1:25" s="1130" customFormat="1" ht="66" hidden="1">
      <c r="A1868" s="1314" t="s">
        <v>3376</v>
      </c>
      <c r="B1868" s="1315"/>
      <c r="C1868" s="1316" t="s">
        <v>3355</v>
      </c>
      <c r="D1868" s="1317"/>
      <c r="E1868" s="1317"/>
      <c r="F1868" s="1317"/>
      <c r="G1868" s="1317"/>
      <c r="H1868" s="1317"/>
      <c r="I1868" s="1317"/>
      <c r="J1868" s="1317"/>
      <c r="K1868" s="1317"/>
      <c r="L1868" s="1317"/>
      <c r="M1868" s="1317"/>
      <c r="N1868" s="1318"/>
      <c r="O1868" s="1131" t="s">
        <v>3356</v>
      </c>
      <c r="P1868" s="323"/>
      <c r="Q1868" s="1156">
        <v>7</v>
      </c>
      <c r="R1868" s="326"/>
      <c r="S1868" s="326"/>
      <c r="T1868" s="327"/>
      <c r="U1868" s="326"/>
      <c r="V1868" s="328"/>
      <c r="W1868" s="323"/>
      <c r="X1868" s="323"/>
      <c r="Y1868" s="323"/>
    </row>
    <row r="1869" spans="1:25" s="1130" customFormat="1" ht="13.2" hidden="1">
      <c r="A1869" s="1132" t="s">
        <v>77</v>
      </c>
      <c r="B1869" s="1133" t="s">
        <v>1795</v>
      </c>
      <c r="C1869" s="1134" t="s">
        <v>116</v>
      </c>
      <c r="D1869" s="1135" t="s">
        <v>117</v>
      </c>
      <c r="E1869" s="1135" t="s">
        <v>118</v>
      </c>
      <c r="F1869" s="1135" t="s">
        <v>119</v>
      </c>
      <c r="G1869" s="1135" t="s">
        <v>120</v>
      </c>
      <c r="H1869" s="1135" t="s">
        <v>121</v>
      </c>
      <c r="I1869" s="1135" t="s">
        <v>122</v>
      </c>
      <c r="J1869" s="1135" t="s">
        <v>123</v>
      </c>
      <c r="K1869" s="1135" t="s">
        <v>124</v>
      </c>
      <c r="L1869" s="1135" t="s">
        <v>125</v>
      </c>
      <c r="M1869" s="1135" t="s">
        <v>126</v>
      </c>
      <c r="N1869" s="1136" t="s">
        <v>127</v>
      </c>
      <c r="O1869" s="1137" t="s">
        <v>3357</v>
      </c>
      <c r="P1869" s="323"/>
      <c r="Q1869" s="323"/>
      <c r="R1869" s="326"/>
      <c r="S1869" s="326"/>
      <c r="T1869" s="327"/>
      <c r="U1869" s="326"/>
      <c r="V1869" s="328"/>
      <c r="W1869" s="323"/>
      <c r="X1869" s="323"/>
      <c r="Y1869" s="323"/>
    </row>
    <row r="1870" spans="1:25" s="1130" customFormat="1" ht="13.2" hidden="1">
      <c r="A1870" s="1138" t="s">
        <v>3358</v>
      </c>
      <c r="B1870" s="1137" t="s">
        <v>14</v>
      </c>
      <c r="C1870" s="1134">
        <v>30</v>
      </c>
      <c r="D1870" s="1135">
        <v>56</v>
      </c>
      <c r="E1870" s="1135">
        <v>120</v>
      </c>
      <c r="F1870" s="1135">
        <v>141</v>
      </c>
      <c r="G1870" s="1135">
        <v>176</v>
      </c>
      <c r="H1870" s="1135">
        <v>226</v>
      </c>
      <c r="I1870" s="1135">
        <v>200</v>
      </c>
      <c r="J1870" s="1135">
        <v>184</v>
      </c>
      <c r="K1870" s="1135">
        <v>118</v>
      </c>
      <c r="L1870" s="1135">
        <v>64</v>
      </c>
      <c r="M1870" s="1135">
        <v>36</v>
      </c>
      <c r="N1870" s="1136">
        <v>19</v>
      </c>
      <c r="O1870" s="1139">
        <v>1004</v>
      </c>
      <c r="P1870" s="323"/>
      <c r="Q1870" s="323"/>
      <c r="R1870" s="326"/>
      <c r="S1870" s="326"/>
      <c r="T1870" s="327"/>
      <c r="U1870" s="326"/>
      <c r="V1870" s="328"/>
      <c r="W1870" s="323"/>
      <c r="X1870" s="323"/>
      <c r="Y1870" s="323"/>
    </row>
    <row r="1871" spans="1:25" s="1130" customFormat="1" ht="13.2" hidden="1">
      <c r="A1871" s="1319" t="s">
        <v>11</v>
      </c>
      <c r="B1871" s="1140" t="s">
        <v>15</v>
      </c>
      <c r="C1871" s="1141">
        <v>44</v>
      </c>
      <c r="D1871" s="1142">
        <v>76</v>
      </c>
      <c r="E1871" s="1142">
        <v>147</v>
      </c>
      <c r="F1871" s="1142">
        <v>152</v>
      </c>
      <c r="G1871" s="1142">
        <v>177</v>
      </c>
      <c r="H1871" s="1142">
        <v>224</v>
      </c>
      <c r="I1871" s="1142">
        <v>199</v>
      </c>
      <c r="J1871" s="1142">
        <v>195</v>
      </c>
      <c r="K1871" s="1142">
        <v>132</v>
      </c>
      <c r="L1871" s="1142">
        <v>76</v>
      </c>
      <c r="M1871" s="1142">
        <v>48</v>
      </c>
      <c r="N1871" s="1143">
        <v>25</v>
      </c>
      <c r="O1871" s="1144">
        <v>1092</v>
      </c>
      <c r="P1871" s="323"/>
      <c r="Q1871" s="323"/>
      <c r="R1871" s="326"/>
      <c r="S1871" s="326"/>
      <c r="T1871" s="327"/>
      <c r="U1871" s="326"/>
      <c r="V1871" s="328"/>
      <c r="W1871" s="323"/>
      <c r="X1871" s="323"/>
      <c r="Y1871" s="323"/>
    </row>
    <row r="1872" spans="1:25" s="1130" customFormat="1" ht="13.2" hidden="1">
      <c r="A1872" s="1320"/>
      <c r="B1872" s="1140" t="s">
        <v>16</v>
      </c>
      <c r="C1872" s="1141">
        <v>48</v>
      </c>
      <c r="D1872" s="1142">
        <v>80</v>
      </c>
      <c r="E1872" s="1142">
        <v>151</v>
      </c>
      <c r="F1872" s="1142">
        <v>147</v>
      </c>
      <c r="G1872" s="1142">
        <v>166</v>
      </c>
      <c r="H1872" s="1142">
        <v>208</v>
      </c>
      <c r="I1872" s="1142">
        <v>185</v>
      </c>
      <c r="J1872" s="1142">
        <v>187</v>
      </c>
      <c r="K1872" s="1142">
        <v>131</v>
      </c>
      <c r="L1872" s="1142">
        <v>77</v>
      </c>
      <c r="M1872" s="1142">
        <v>51</v>
      </c>
      <c r="N1872" s="1143">
        <v>26</v>
      </c>
      <c r="O1872" s="1144">
        <v>1066</v>
      </c>
      <c r="P1872" s="323"/>
      <c r="Q1872" s="323"/>
      <c r="R1872" s="326"/>
      <c r="S1872" s="326"/>
      <c r="T1872" s="327"/>
      <c r="U1872" s="326"/>
      <c r="V1872" s="328"/>
      <c r="W1872" s="323"/>
      <c r="X1872" s="323"/>
      <c r="Y1872" s="323"/>
    </row>
    <row r="1873" spans="1:25" s="1130" customFormat="1" ht="13.2" hidden="1">
      <c r="A1873" s="1320"/>
      <c r="B1873" s="1140" t="s">
        <v>17</v>
      </c>
      <c r="C1873" s="1141">
        <v>50</v>
      </c>
      <c r="D1873" s="1142">
        <v>81</v>
      </c>
      <c r="E1873" s="1142">
        <v>147</v>
      </c>
      <c r="F1873" s="1142">
        <v>136</v>
      </c>
      <c r="G1873" s="1142">
        <v>149</v>
      </c>
      <c r="H1873" s="1142">
        <v>185</v>
      </c>
      <c r="I1873" s="1142">
        <v>165</v>
      </c>
      <c r="J1873" s="1142">
        <v>171</v>
      </c>
      <c r="K1873" s="1142">
        <v>124</v>
      </c>
      <c r="L1873" s="1142">
        <v>75</v>
      </c>
      <c r="M1873" s="1142">
        <v>51</v>
      </c>
      <c r="N1873" s="1143">
        <v>27</v>
      </c>
      <c r="O1873" s="1144">
        <v>995</v>
      </c>
      <c r="P1873" s="323"/>
      <c r="Q1873" s="323"/>
      <c r="R1873" s="326"/>
      <c r="S1873" s="326"/>
      <c r="T1873" s="327"/>
      <c r="U1873" s="326"/>
      <c r="V1873" s="328"/>
      <c r="W1873" s="323"/>
      <c r="X1873" s="323"/>
      <c r="Y1873" s="323"/>
    </row>
    <row r="1874" spans="1:25" s="1130" customFormat="1" ht="13.2" hidden="1">
      <c r="A1874" s="1321"/>
      <c r="B1874" s="1137" t="s">
        <v>18</v>
      </c>
      <c r="C1874" s="1134">
        <v>47</v>
      </c>
      <c r="D1874" s="1135">
        <v>71</v>
      </c>
      <c r="E1874" s="1135">
        <v>120</v>
      </c>
      <c r="F1874" s="1135">
        <v>101</v>
      </c>
      <c r="G1874" s="1135">
        <v>103</v>
      </c>
      <c r="H1874" s="1135">
        <v>124</v>
      </c>
      <c r="I1874" s="1135">
        <v>113</v>
      </c>
      <c r="J1874" s="1135">
        <v>122</v>
      </c>
      <c r="K1874" s="1135">
        <v>95</v>
      </c>
      <c r="L1874" s="1135">
        <v>61</v>
      </c>
      <c r="M1874" s="1135">
        <v>46</v>
      </c>
      <c r="N1874" s="1136">
        <v>24</v>
      </c>
      <c r="O1874" s="1145">
        <v>750</v>
      </c>
      <c r="P1874" s="323"/>
      <c r="Q1874" s="323"/>
      <c r="R1874" s="326"/>
      <c r="S1874" s="326"/>
      <c r="T1874" s="327"/>
      <c r="U1874" s="326"/>
      <c r="V1874" s="328"/>
      <c r="W1874" s="323"/>
      <c r="X1874" s="323"/>
      <c r="Y1874" s="323"/>
    </row>
    <row r="1875" spans="1:25" s="1130" customFormat="1" ht="13.2" hidden="1">
      <c r="A1875" s="1319" t="s">
        <v>3359</v>
      </c>
      <c r="B1875" s="1140" t="s">
        <v>15</v>
      </c>
      <c r="C1875" s="1141">
        <v>41</v>
      </c>
      <c r="D1875" s="1142">
        <v>72</v>
      </c>
      <c r="E1875" s="1142">
        <v>143</v>
      </c>
      <c r="F1875" s="1142">
        <v>154</v>
      </c>
      <c r="G1875" s="1142">
        <v>176</v>
      </c>
      <c r="H1875" s="1142">
        <v>225</v>
      </c>
      <c r="I1875" s="1142">
        <v>199</v>
      </c>
      <c r="J1875" s="1142">
        <v>193</v>
      </c>
      <c r="K1875" s="1142">
        <v>128</v>
      </c>
      <c r="L1875" s="1142">
        <v>73</v>
      </c>
      <c r="M1875" s="1142">
        <v>46</v>
      </c>
      <c r="N1875" s="1143">
        <v>24</v>
      </c>
      <c r="O1875" s="1144">
        <v>1079</v>
      </c>
      <c r="P1875" s="323"/>
      <c r="Q1875" s="323"/>
      <c r="R1875" s="326"/>
      <c r="S1875" s="326"/>
      <c r="T1875" s="327"/>
      <c r="U1875" s="326"/>
      <c r="V1875" s="328"/>
      <c r="W1875" s="323"/>
      <c r="X1875" s="323"/>
      <c r="Y1875" s="323"/>
    </row>
    <row r="1876" spans="1:25" s="1130" customFormat="1" ht="13.2" hidden="1">
      <c r="A1876" s="1320"/>
      <c r="B1876" s="1140" t="s">
        <v>16</v>
      </c>
      <c r="C1876" s="1141">
        <v>45</v>
      </c>
      <c r="D1876" s="1142">
        <v>75</v>
      </c>
      <c r="E1876" s="1142">
        <v>146</v>
      </c>
      <c r="F1876" s="1142">
        <v>151</v>
      </c>
      <c r="G1876" s="1142">
        <v>165</v>
      </c>
      <c r="H1876" s="1142">
        <v>212</v>
      </c>
      <c r="I1876" s="1142">
        <v>187</v>
      </c>
      <c r="J1876" s="1142">
        <v>186</v>
      </c>
      <c r="K1876" s="1142">
        <v>126</v>
      </c>
      <c r="L1876" s="1142">
        <v>73</v>
      </c>
      <c r="M1876" s="1142">
        <v>47</v>
      </c>
      <c r="N1876" s="1143">
        <v>25</v>
      </c>
      <c r="O1876" s="1144">
        <v>1051</v>
      </c>
      <c r="P1876" s="323"/>
      <c r="Q1876" s="323"/>
      <c r="R1876" s="326"/>
      <c r="S1876" s="326"/>
      <c r="T1876" s="327"/>
      <c r="U1876" s="326"/>
      <c r="V1876" s="328"/>
      <c r="W1876" s="323"/>
      <c r="X1876" s="323"/>
      <c r="Y1876" s="323"/>
    </row>
    <row r="1877" spans="1:25" s="1130" customFormat="1" ht="13.2" hidden="1">
      <c r="A1877" s="1320"/>
      <c r="B1877" s="1140" t="s">
        <v>17</v>
      </c>
      <c r="C1877" s="1141">
        <v>46</v>
      </c>
      <c r="D1877" s="1142">
        <v>75</v>
      </c>
      <c r="E1877" s="1142">
        <v>142</v>
      </c>
      <c r="F1877" s="1142">
        <v>142</v>
      </c>
      <c r="G1877" s="1142">
        <v>150</v>
      </c>
      <c r="H1877" s="1142">
        <v>191</v>
      </c>
      <c r="I1877" s="1142">
        <v>168</v>
      </c>
      <c r="J1877" s="1142">
        <v>171</v>
      </c>
      <c r="K1877" s="1142">
        <v>118</v>
      </c>
      <c r="L1877" s="1142">
        <v>71</v>
      </c>
      <c r="M1877" s="1142">
        <v>47</v>
      </c>
      <c r="N1877" s="1143">
        <v>25</v>
      </c>
      <c r="O1877" s="1144">
        <v>985</v>
      </c>
      <c r="P1877" s="323"/>
      <c r="Q1877" s="323"/>
      <c r="R1877" s="326"/>
      <c r="S1877" s="326"/>
      <c r="T1877" s="327"/>
      <c r="U1877" s="326"/>
      <c r="V1877" s="328"/>
      <c r="W1877" s="323"/>
      <c r="X1877" s="323"/>
      <c r="Y1877" s="323"/>
    </row>
    <row r="1878" spans="1:25" s="1130" customFormat="1" ht="13.2" hidden="1">
      <c r="A1878" s="1321"/>
      <c r="B1878" s="1137" t="s">
        <v>18</v>
      </c>
      <c r="C1878" s="1134">
        <v>42</v>
      </c>
      <c r="D1878" s="1135">
        <v>65</v>
      </c>
      <c r="E1878" s="1135">
        <v>116</v>
      </c>
      <c r="F1878" s="1135">
        <v>108</v>
      </c>
      <c r="G1878" s="1135">
        <v>108</v>
      </c>
      <c r="H1878" s="1135">
        <v>137</v>
      </c>
      <c r="I1878" s="1135">
        <v>120</v>
      </c>
      <c r="J1878" s="1135">
        <v>127</v>
      </c>
      <c r="K1878" s="1135">
        <v>91</v>
      </c>
      <c r="L1878" s="1135">
        <v>57</v>
      </c>
      <c r="M1878" s="1135">
        <v>41</v>
      </c>
      <c r="N1878" s="1136">
        <v>22</v>
      </c>
      <c r="O1878" s="1145">
        <v>756</v>
      </c>
      <c r="P1878" s="323"/>
      <c r="Q1878" s="323"/>
      <c r="R1878" s="326"/>
      <c r="S1878" s="326"/>
      <c r="T1878" s="327"/>
      <c r="U1878" s="326"/>
      <c r="V1878" s="328"/>
      <c r="W1878" s="323"/>
      <c r="X1878" s="323"/>
      <c r="Y1878" s="323"/>
    </row>
    <row r="1879" spans="1:25" s="1130" customFormat="1" ht="13.2" hidden="1">
      <c r="A1879" s="1319" t="s">
        <v>3360</v>
      </c>
      <c r="B1879" s="1140" t="s">
        <v>15</v>
      </c>
      <c r="C1879" s="1141">
        <v>37</v>
      </c>
      <c r="D1879" s="1142">
        <v>66</v>
      </c>
      <c r="E1879" s="1142">
        <v>131</v>
      </c>
      <c r="F1879" s="1142">
        <v>139</v>
      </c>
      <c r="G1879" s="1142">
        <v>171</v>
      </c>
      <c r="H1879" s="1142">
        <v>217</v>
      </c>
      <c r="I1879" s="1142">
        <v>192</v>
      </c>
      <c r="J1879" s="1142">
        <v>185</v>
      </c>
      <c r="K1879" s="1142">
        <v>123</v>
      </c>
      <c r="L1879" s="1142">
        <v>69</v>
      </c>
      <c r="M1879" s="1142">
        <v>41</v>
      </c>
      <c r="N1879" s="1143">
        <v>22</v>
      </c>
      <c r="O1879" s="1144">
        <v>1019</v>
      </c>
      <c r="P1879" s="323"/>
      <c r="Q1879" s="323"/>
      <c r="R1879" s="326"/>
      <c r="S1879" s="326"/>
      <c r="T1879" s="327"/>
      <c r="U1879" s="326"/>
      <c r="V1879" s="328"/>
      <c r="W1879" s="323"/>
      <c r="X1879" s="323"/>
      <c r="Y1879" s="323"/>
    </row>
    <row r="1880" spans="1:25" s="1130" customFormat="1" ht="13.2" hidden="1">
      <c r="A1880" s="1320"/>
      <c r="B1880" s="1140" t="s">
        <v>16</v>
      </c>
      <c r="C1880" s="1141">
        <v>38</v>
      </c>
      <c r="D1880" s="1142">
        <v>66</v>
      </c>
      <c r="E1880" s="1142">
        <v>130</v>
      </c>
      <c r="F1880" s="1142">
        <v>131</v>
      </c>
      <c r="G1880" s="1142">
        <v>159</v>
      </c>
      <c r="H1880" s="1142">
        <v>201</v>
      </c>
      <c r="I1880" s="1142">
        <v>177</v>
      </c>
      <c r="J1880" s="1142">
        <v>175</v>
      </c>
      <c r="K1880" s="1142">
        <v>119</v>
      </c>
      <c r="L1880" s="1142">
        <v>67</v>
      </c>
      <c r="M1880" s="1142">
        <v>42</v>
      </c>
      <c r="N1880" s="1143">
        <v>21</v>
      </c>
      <c r="O1880" s="1144">
        <v>971</v>
      </c>
      <c r="P1880" s="323"/>
      <c r="Q1880" s="323"/>
      <c r="R1880" s="326"/>
      <c r="S1880" s="326"/>
      <c r="T1880" s="327"/>
      <c r="U1880" s="326"/>
      <c r="V1880" s="328"/>
      <c r="W1880" s="323"/>
      <c r="X1880" s="323"/>
      <c r="Y1880" s="323"/>
    </row>
    <row r="1881" spans="1:25" s="1130" customFormat="1" ht="13.2" hidden="1">
      <c r="A1881" s="1320"/>
      <c r="B1881" s="1140" t="s">
        <v>17</v>
      </c>
      <c r="C1881" s="1141">
        <v>38</v>
      </c>
      <c r="D1881" s="1142">
        <v>64</v>
      </c>
      <c r="E1881" s="1142">
        <v>123</v>
      </c>
      <c r="F1881" s="1142">
        <v>119</v>
      </c>
      <c r="G1881" s="1142">
        <v>143</v>
      </c>
      <c r="H1881" s="1142">
        <v>180</v>
      </c>
      <c r="I1881" s="1142">
        <v>158</v>
      </c>
      <c r="J1881" s="1142">
        <v>160</v>
      </c>
      <c r="K1881" s="1142">
        <v>111</v>
      </c>
      <c r="L1881" s="1142">
        <v>63</v>
      </c>
      <c r="M1881" s="1142">
        <v>40</v>
      </c>
      <c r="N1881" s="1143">
        <v>21</v>
      </c>
      <c r="O1881" s="1144">
        <v>892</v>
      </c>
      <c r="P1881" s="323"/>
      <c r="Q1881" s="323"/>
      <c r="R1881" s="326"/>
      <c r="S1881" s="326"/>
      <c r="T1881" s="327"/>
      <c r="U1881" s="326"/>
      <c r="V1881" s="328"/>
      <c r="W1881" s="323"/>
      <c r="X1881" s="323"/>
      <c r="Y1881" s="323"/>
    </row>
    <row r="1882" spans="1:25" s="1130" customFormat="1" ht="13.2" hidden="1">
      <c r="A1882" s="1321"/>
      <c r="B1882" s="1137" t="s">
        <v>18</v>
      </c>
      <c r="C1882" s="1134">
        <v>33</v>
      </c>
      <c r="D1882" s="1135">
        <v>53</v>
      </c>
      <c r="E1882" s="1135">
        <v>96</v>
      </c>
      <c r="F1882" s="1135">
        <v>86</v>
      </c>
      <c r="G1882" s="1135">
        <v>102</v>
      </c>
      <c r="H1882" s="1135">
        <v>127</v>
      </c>
      <c r="I1882" s="1135">
        <v>112</v>
      </c>
      <c r="J1882" s="1135">
        <v>116</v>
      </c>
      <c r="K1882" s="1135">
        <v>84</v>
      </c>
      <c r="L1882" s="1135">
        <v>49</v>
      </c>
      <c r="M1882" s="1135">
        <v>33</v>
      </c>
      <c r="N1882" s="1136">
        <v>17</v>
      </c>
      <c r="O1882" s="1145">
        <v>663</v>
      </c>
      <c r="P1882" s="323"/>
      <c r="Q1882" s="323"/>
      <c r="R1882" s="326"/>
      <c r="S1882" s="326"/>
      <c r="T1882" s="327"/>
      <c r="U1882" s="326"/>
      <c r="V1882" s="328"/>
      <c r="W1882" s="323"/>
      <c r="X1882" s="323"/>
      <c r="Y1882" s="323"/>
    </row>
    <row r="1883" spans="1:25" s="1130" customFormat="1" ht="13.2" hidden="1">
      <c r="A1883" s="1319" t="s">
        <v>980</v>
      </c>
      <c r="B1883" s="1140" t="s">
        <v>15</v>
      </c>
      <c r="C1883" s="1141">
        <v>31</v>
      </c>
      <c r="D1883" s="1142">
        <v>57</v>
      </c>
      <c r="E1883" s="1142">
        <v>121</v>
      </c>
      <c r="F1883" s="1142">
        <v>143</v>
      </c>
      <c r="G1883" s="1142">
        <v>167</v>
      </c>
      <c r="H1883" s="1142">
        <v>218</v>
      </c>
      <c r="I1883" s="1142">
        <v>191</v>
      </c>
      <c r="J1883" s="1142">
        <v>179</v>
      </c>
      <c r="K1883" s="1142">
        <v>114</v>
      </c>
      <c r="L1883" s="1142">
        <v>63</v>
      </c>
      <c r="M1883" s="1142">
        <v>36</v>
      </c>
      <c r="N1883" s="1143">
        <v>20</v>
      </c>
      <c r="O1883" s="1144">
        <v>981</v>
      </c>
      <c r="P1883" s="323"/>
      <c r="Q1883" s="323"/>
      <c r="R1883" s="326"/>
      <c r="S1883" s="326"/>
      <c r="T1883" s="327"/>
      <c r="U1883" s="326"/>
      <c r="V1883" s="328"/>
      <c r="W1883" s="323"/>
      <c r="X1883" s="323"/>
      <c r="Y1883" s="323"/>
    </row>
    <row r="1884" spans="1:25" s="1130" customFormat="1" ht="13.2" hidden="1">
      <c r="A1884" s="1320"/>
      <c r="B1884" s="1140" t="s">
        <v>16</v>
      </c>
      <c r="C1884" s="1141">
        <v>30</v>
      </c>
      <c r="D1884" s="1142">
        <v>56</v>
      </c>
      <c r="E1884" s="1142">
        <v>116</v>
      </c>
      <c r="F1884" s="1142">
        <v>136</v>
      </c>
      <c r="G1884" s="1142">
        <v>155</v>
      </c>
      <c r="H1884" s="1142">
        <v>204</v>
      </c>
      <c r="I1884" s="1142">
        <v>178</v>
      </c>
      <c r="J1884" s="1142">
        <v>168</v>
      </c>
      <c r="K1884" s="1142">
        <v>107</v>
      </c>
      <c r="L1884" s="1142">
        <v>60</v>
      </c>
      <c r="M1884" s="1142">
        <v>35</v>
      </c>
      <c r="N1884" s="1143">
        <v>19</v>
      </c>
      <c r="O1884" s="1144">
        <v>925</v>
      </c>
      <c r="P1884" s="323"/>
      <c r="Q1884" s="323"/>
      <c r="R1884" s="326"/>
      <c r="S1884" s="326"/>
      <c r="T1884" s="327"/>
      <c r="U1884" s="326"/>
      <c r="V1884" s="328"/>
      <c r="W1884" s="323"/>
      <c r="X1884" s="323"/>
      <c r="Y1884" s="323"/>
    </row>
    <row r="1885" spans="1:25" s="1130" customFormat="1" ht="13.2" hidden="1">
      <c r="A1885" s="1320"/>
      <c r="B1885" s="1140" t="s">
        <v>17</v>
      </c>
      <c r="C1885" s="1141">
        <v>29</v>
      </c>
      <c r="D1885" s="1142">
        <v>52</v>
      </c>
      <c r="E1885" s="1142">
        <v>109</v>
      </c>
      <c r="F1885" s="1142">
        <v>126</v>
      </c>
      <c r="G1885" s="1142">
        <v>140</v>
      </c>
      <c r="H1885" s="1142">
        <v>185</v>
      </c>
      <c r="I1885" s="1142">
        <v>160</v>
      </c>
      <c r="J1885" s="1142">
        <v>154</v>
      </c>
      <c r="K1885" s="1142">
        <v>98</v>
      </c>
      <c r="L1885" s="1142">
        <v>55</v>
      </c>
      <c r="M1885" s="1142">
        <v>33</v>
      </c>
      <c r="N1885" s="1143">
        <v>18</v>
      </c>
      <c r="O1885" s="1144">
        <v>849</v>
      </c>
      <c r="P1885" s="323"/>
      <c r="Q1885" s="323"/>
      <c r="R1885" s="326"/>
      <c r="S1885" s="326"/>
      <c r="T1885" s="327"/>
      <c r="U1885" s="326"/>
      <c r="V1885" s="328"/>
      <c r="W1885" s="323"/>
      <c r="X1885" s="323"/>
      <c r="Y1885" s="323"/>
    </row>
    <row r="1886" spans="1:25" s="1130" customFormat="1" ht="13.2" hidden="1">
      <c r="A1886" s="1321"/>
      <c r="B1886" s="1137" t="s">
        <v>18</v>
      </c>
      <c r="C1886" s="1134">
        <v>24</v>
      </c>
      <c r="D1886" s="1135">
        <v>42</v>
      </c>
      <c r="E1886" s="1135">
        <v>87</v>
      </c>
      <c r="F1886" s="1135">
        <v>97</v>
      </c>
      <c r="G1886" s="1135">
        <v>104</v>
      </c>
      <c r="H1886" s="1135">
        <v>139</v>
      </c>
      <c r="I1886" s="1135">
        <v>118</v>
      </c>
      <c r="J1886" s="1135">
        <v>117</v>
      </c>
      <c r="K1886" s="1135">
        <v>75</v>
      </c>
      <c r="L1886" s="1135">
        <v>43</v>
      </c>
      <c r="M1886" s="1135">
        <v>26</v>
      </c>
      <c r="N1886" s="1136">
        <v>14</v>
      </c>
      <c r="O1886" s="1145">
        <v>649</v>
      </c>
      <c r="P1886" s="323"/>
      <c r="Q1886" s="323"/>
      <c r="R1886" s="326"/>
      <c r="S1886" s="326"/>
      <c r="T1886" s="327"/>
      <c r="U1886" s="326"/>
      <c r="V1886" s="328"/>
      <c r="W1886" s="323"/>
      <c r="X1886" s="323"/>
      <c r="Y1886" s="323"/>
    </row>
    <row r="1887" spans="1:25" s="1130" customFormat="1" ht="13.2" hidden="1">
      <c r="A1887" s="1319" t="s">
        <v>981</v>
      </c>
      <c r="B1887" s="1140" t="s">
        <v>15</v>
      </c>
      <c r="C1887" s="1141">
        <v>26</v>
      </c>
      <c r="D1887" s="1142">
        <v>51</v>
      </c>
      <c r="E1887" s="1142">
        <v>107</v>
      </c>
      <c r="F1887" s="1142">
        <v>123</v>
      </c>
      <c r="G1887" s="1142">
        <v>160</v>
      </c>
      <c r="H1887" s="1142">
        <v>205</v>
      </c>
      <c r="I1887" s="1142">
        <v>180</v>
      </c>
      <c r="J1887" s="1142">
        <v>167</v>
      </c>
      <c r="K1887" s="1142">
        <v>107</v>
      </c>
      <c r="L1887" s="1142">
        <v>58</v>
      </c>
      <c r="M1887" s="1142">
        <v>32</v>
      </c>
      <c r="N1887" s="1143">
        <v>17</v>
      </c>
      <c r="O1887" s="1144">
        <v>903</v>
      </c>
      <c r="P1887" s="323"/>
      <c r="Q1887" s="323"/>
      <c r="R1887" s="326"/>
      <c r="S1887" s="326"/>
      <c r="T1887" s="327"/>
      <c r="U1887" s="326"/>
      <c r="V1887" s="328"/>
      <c r="W1887" s="323"/>
      <c r="X1887" s="323"/>
      <c r="Y1887" s="323"/>
    </row>
    <row r="1888" spans="1:25" s="1130" customFormat="1" ht="13.2" hidden="1">
      <c r="A1888" s="1320"/>
      <c r="B1888" s="1140" t="s">
        <v>16</v>
      </c>
      <c r="C1888" s="1141">
        <v>24</v>
      </c>
      <c r="D1888" s="1142">
        <v>47</v>
      </c>
      <c r="E1888" s="1142">
        <v>98</v>
      </c>
      <c r="F1888" s="1142">
        <v>111</v>
      </c>
      <c r="G1888" s="1142">
        <v>146</v>
      </c>
      <c r="H1888" s="1142">
        <v>187</v>
      </c>
      <c r="I1888" s="1142">
        <v>164</v>
      </c>
      <c r="J1888" s="1142">
        <v>153</v>
      </c>
      <c r="K1888" s="1142">
        <v>99</v>
      </c>
      <c r="L1888" s="1142">
        <v>54</v>
      </c>
      <c r="M1888" s="1142">
        <v>30</v>
      </c>
      <c r="N1888" s="1143">
        <v>16</v>
      </c>
      <c r="O1888" s="1144">
        <v>826</v>
      </c>
      <c r="P1888" s="323"/>
      <c r="Q1888" s="323"/>
      <c r="R1888" s="326"/>
      <c r="S1888" s="326"/>
      <c r="T1888" s="327"/>
      <c r="U1888" s="326"/>
      <c r="V1888" s="328"/>
      <c r="W1888" s="323"/>
      <c r="X1888" s="323"/>
      <c r="Y1888" s="323"/>
    </row>
    <row r="1889" spans="1:25" s="1130" customFormat="1" ht="13.2" hidden="1">
      <c r="A1889" s="1320"/>
      <c r="B1889" s="1140" t="s">
        <v>17</v>
      </c>
      <c r="C1889" s="1141">
        <v>22</v>
      </c>
      <c r="D1889" s="1142">
        <v>42</v>
      </c>
      <c r="E1889" s="1142">
        <v>89</v>
      </c>
      <c r="F1889" s="1142">
        <v>98</v>
      </c>
      <c r="G1889" s="1142">
        <v>130</v>
      </c>
      <c r="H1889" s="1142">
        <v>167</v>
      </c>
      <c r="I1889" s="1142">
        <v>145</v>
      </c>
      <c r="J1889" s="1142">
        <v>137</v>
      </c>
      <c r="K1889" s="1142">
        <v>89</v>
      </c>
      <c r="L1889" s="1142">
        <v>48</v>
      </c>
      <c r="M1889" s="1142">
        <v>27</v>
      </c>
      <c r="N1889" s="1143">
        <v>14</v>
      </c>
      <c r="O1889" s="1144">
        <v>738</v>
      </c>
      <c r="P1889" s="323"/>
      <c r="Q1889" s="323"/>
      <c r="R1889" s="326"/>
      <c r="S1889" s="326"/>
      <c r="T1889" s="327"/>
      <c r="U1889" s="326"/>
      <c r="V1889" s="328"/>
      <c r="W1889" s="323"/>
      <c r="X1889" s="323"/>
      <c r="Y1889" s="323"/>
    </row>
    <row r="1890" spans="1:25" s="1130" customFormat="1" ht="13.2" hidden="1">
      <c r="A1890" s="1321"/>
      <c r="B1890" s="1137" t="s">
        <v>18</v>
      </c>
      <c r="C1890" s="1134">
        <v>17</v>
      </c>
      <c r="D1890" s="1135">
        <v>32</v>
      </c>
      <c r="E1890" s="1135">
        <v>67</v>
      </c>
      <c r="F1890" s="1135">
        <v>72</v>
      </c>
      <c r="G1890" s="1135">
        <v>94</v>
      </c>
      <c r="H1890" s="1135">
        <v>122</v>
      </c>
      <c r="I1890" s="1135">
        <v>105</v>
      </c>
      <c r="J1890" s="1135">
        <v>102</v>
      </c>
      <c r="K1890" s="1135">
        <v>66</v>
      </c>
      <c r="L1890" s="1135">
        <v>35</v>
      </c>
      <c r="M1890" s="1135">
        <v>20</v>
      </c>
      <c r="N1890" s="1136">
        <v>10</v>
      </c>
      <c r="O1890" s="1145">
        <v>543</v>
      </c>
      <c r="P1890" s="323"/>
      <c r="Q1890" s="323"/>
      <c r="R1890" s="326"/>
      <c r="S1890" s="326"/>
      <c r="T1890" s="327"/>
      <c r="U1890" s="326"/>
      <c r="V1890" s="328"/>
      <c r="W1890" s="323"/>
      <c r="X1890" s="323"/>
      <c r="Y1890" s="323"/>
    </row>
    <row r="1891" spans="1:25" s="1130" customFormat="1" ht="13.2" hidden="1">
      <c r="A1891" s="1319" t="s">
        <v>3361</v>
      </c>
      <c r="B1891" s="1140" t="s">
        <v>15</v>
      </c>
      <c r="C1891" s="1141">
        <v>20</v>
      </c>
      <c r="D1891" s="1142">
        <v>39</v>
      </c>
      <c r="E1891" s="1142">
        <v>84</v>
      </c>
      <c r="F1891" s="1142">
        <v>109</v>
      </c>
      <c r="G1891" s="1142">
        <v>148</v>
      </c>
      <c r="H1891" s="1142">
        <v>192</v>
      </c>
      <c r="I1891" s="1142">
        <v>169</v>
      </c>
      <c r="J1891" s="1142">
        <v>149</v>
      </c>
      <c r="K1891" s="1142">
        <v>91</v>
      </c>
      <c r="L1891" s="1142">
        <v>49</v>
      </c>
      <c r="M1891" s="1142">
        <v>26</v>
      </c>
      <c r="N1891" s="1143">
        <v>15</v>
      </c>
      <c r="O1891" s="1144">
        <v>799</v>
      </c>
      <c r="P1891" s="323"/>
      <c r="Q1891" s="323"/>
      <c r="R1891" s="326"/>
      <c r="S1891" s="326"/>
      <c r="T1891" s="327"/>
      <c r="U1891" s="326"/>
      <c r="V1891" s="328"/>
      <c r="W1891" s="323"/>
      <c r="X1891" s="323"/>
      <c r="Y1891" s="323"/>
    </row>
    <row r="1892" spans="1:25" s="1130" customFormat="1" ht="13.2" hidden="1">
      <c r="A1892" s="1320"/>
      <c r="B1892" s="1140" t="s">
        <v>16</v>
      </c>
      <c r="C1892" s="1141">
        <v>18</v>
      </c>
      <c r="D1892" s="1142">
        <v>34</v>
      </c>
      <c r="E1892" s="1142">
        <v>71</v>
      </c>
      <c r="F1892" s="1142">
        <v>93</v>
      </c>
      <c r="G1892" s="1142">
        <v>129</v>
      </c>
      <c r="H1892" s="1142">
        <v>166</v>
      </c>
      <c r="I1892" s="1142">
        <v>147</v>
      </c>
      <c r="J1892" s="1142">
        <v>128</v>
      </c>
      <c r="K1892" s="1142">
        <v>78</v>
      </c>
      <c r="L1892" s="1142">
        <v>43</v>
      </c>
      <c r="M1892" s="1142">
        <v>23</v>
      </c>
      <c r="N1892" s="1143">
        <v>13</v>
      </c>
      <c r="O1892" s="1144">
        <v>691</v>
      </c>
      <c r="P1892" s="323"/>
      <c r="Q1892" s="323"/>
      <c r="R1892" s="326"/>
      <c r="S1892" s="326"/>
      <c r="T1892" s="327"/>
      <c r="U1892" s="326"/>
      <c r="V1892" s="328"/>
      <c r="W1892" s="323"/>
      <c r="X1892" s="323"/>
      <c r="Y1892" s="323"/>
    </row>
    <row r="1893" spans="1:25" s="1130" customFormat="1" ht="13.2" hidden="1">
      <c r="A1893" s="1320"/>
      <c r="B1893" s="1140" t="s">
        <v>17</v>
      </c>
      <c r="C1893" s="1141">
        <v>16</v>
      </c>
      <c r="D1893" s="1142">
        <v>30</v>
      </c>
      <c r="E1893" s="1142">
        <v>62</v>
      </c>
      <c r="F1893" s="1142">
        <v>80</v>
      </c>
      <c r="G1893" s="1142">
        <v>111</v>
      </c>
      <c r="H1893" s="1142">
        <v>143</v>
      </c>
      <c r="I1893" s="1142">
        <v>126</v>
      </c>
      <c r="J1893" s="1142">
        <v>110</v>
      </c>
      <c r="K1893" s="1142">
        <v>68</v>
      </c>
      <c r="L1893" s="1142">
        <v>38</v>
      </c>
      <c r="M1893" s="1142">
        <v>20</v>
      </c>
      <c r="N1893" s="1143">
        <v>12</v>
      </c>
      <c r="O1893" s="1144">
        <v>597</v>
      </c>
      <c r="P1893" s="323"/>
      <c r="Q1893" s="323"/>
      <c r="R1893" s="326"/>
      <c r="S1893" s="326"/>
      <c r="T1893" s="327"/>
      <c r="U1893" s="326"/>
      <c r="V1893" s="328"/>
      <c r="W1893" s="323"/>
      <c r="X1893" s="323"/>
      <c r="Y1893" s="323"/>
    </row>
    <row r="1894" spans="1:25" s="1130" customFormat="1" ht="13.2" hidden="1">
      <c r="A1894" s="1321"/>
      <c r="B1894" s="1137" t="s">
        <v>18</v>
      </c>
      <c r="C1894" s="1134">
        <v>12</v>
      </c>
      <c r="D1894" s="1135">
        <v>23</v>
      </c>
      <c r="E1894" s="1135">
        <v>48</v>
      </c>
      <c r="F1894" s="1135">
        <v>59</v>
      </c>
      <c r="G1894" s="1135">
        <v>80</v>
      </c>
      <c r="H1894" s="1135">
        <v>104</v>
      </c>
      <c r="I1894" s="1135">
        <v>90</v>
      </c>
      <c r="J1894" s="1135">
        <v>80</v>
      </c>
      <c r="K1894" s="1135">
        <v>50</v>
      </c>
      <c r="L1894" s="1135">
        <v>28</v>
      </c>
      <c r="M1894" s="1135">
        <v>15</v>
      </c>
      <c r="N1894" s="1136">
        <v>9</v>
      </c>
      <c r="O1894" s="1145">
        <v>438</v>
      </c>
      <c r="P1894" s="323"/>
      <c r="Q1894" s="323"/>
      <c r="R1894" s="326"/>
      <c r="S1894" s="326"/>
      <c r="T1894" s="327"/>
      <c r="U1894" s="326"/>
      <c r="V1894" s="328"/>
      <c r="W1894" s="323"/>
      <c r="X1894" s="323"/>
      <c r="Y1894" s="323"/>
    </row>
    <row r="1895" spans="1:25" s="1130" customFormat="1" ht="13.2" hidden="1">
      <c r="A1895" s="1319" t="s">
        <v>3362</v>
      </c>
      <c r="B1895" s="1140" t="s">
        <v>15</v>
      </c>
      <c r="C1895" s="1141">
        <v>21</v>
      </c>
      <c r="D1895" s="1142">
        <v>42</v>
      </c>
      <c r="E1895" s="1142">
        <v>93</v>
      </c>
      <c r="F1895" s="1142">
        <v>124</v>
      </c>
      <c r="G1895" s="1142">
        <v>154</v>
      </c>
      <c r="H1895" s="1142">
        <v>203</v>
      </c>
      <c r="I1895" s="1142">
        <v>178</v>
      </c>
      <c r="J1895" s="1142">
        <v>158</v>
      </c>
      <c r="K1895" s="1142">
        <v>96</v>
      </c>
      <c r="L1895" s="1142">
        <v>52</v>
      </c>
      <c r="M1895" s="1142">
        <v>27</v>
      </c>
      <c r="N1895" s="1143">
        <v>15</v>
      </c>
      <c r="O1895" s="1144">
        <v>851</v>
      </c>
      <c r="P1895" s="323"/>
      <c r="Q1895" s="323"/>
      <c r="R1895" s="326"/>
      <c r="S1895" s="326"/>
      <c r="T1895" s="327"/>
      <c r="U1895" s="326"/>
      <c r="V1895" s="328"/>
      <c r="W1895" s="323"/>
      <c r="X1895" s="323"/>
      <c r="Y1895" s="323"/>
    </row>
    <row r="1896" spans="1:25" s="1130" customFormat="1" ht="13.2" hidden="1">
      <c r="A1896" s="1320"/>
      <c r="B1896" s="1140" t="s">
        <v>16</v>
      </c>
      <c r="C1896" s="1141">
        <v>19</v>
      </c>
      <c r="D1896" s="1142">
        <v>37</v>
      </c>
      <c r="E1896" s="1142">
        <v>81</v>
      </c>
      <c r="F1896" s="1142">
        <v>110</v>
      </c>
      <c r="G1896" s="1142">
        <v>137</v>
      </c>
      <c r="H1896" s="1142">
        <v>182</v>
      </c>
      <c r="I1896" s="1142">
        <v>158</v>
      </c>
      <c r="J1896" s="1142">
        <v>139</v>
      </c>
      <c r="K1896" s="1142">
        <v>84</v>
      </c>
      <c r="L1896" s="1142">
        <v>46</v>
      </c>
      <c r="M1896" s="1142">
        <v>24</v>
      </c>
      <c r="N1896" s="1143">
        <v>14</v>
      </c>
      <c r="O1896" s="1144">
        <v>754</v>
      </c>
      <c r="P1896" s="323"/>
      <c r="Q1896" s="323"/>
      <c r="R1896" s="326"/>
      <c r="S1896" s="326"/>
      <c r="T1896" s="327"/>
      <c r="U1896" s="326"/>
      <c r="V1896" s="328"/>
      <c r="W1896" s="323"/>
      <c r="X1896" s="323"/>
      <c r="Y1896" s="323"/>
    </row>
    <row r="1897" spans="1:25" s="1130" customFormat="1" ht="13.2" hidden="1">
      <c r="A1897" s="1320"/>
      <c r="B1897" s="1140" t="s">
        <v>17</v>
      </c>
      <c r="C1897" s="1141">
        <v>17</v>
      </c>
      <c r="D1897" s="1142">
        <v>33</v>
      </c>
      <c r="E1897" s="1142">
        <v>72</v>
      </c>
      <c r="F1897" s="1142">
        <v>97</v>
      </c>
      <c r="G1897" s="1142">
        <v>119</v>
      </c>
      <c r="H1897" s="1142">
        <v>159</v>
      </c>
      <c r="I1897" s="1142">
        <v>138</v>
      </c>
      <c r="J1897" s="1142">
        <v>122</v>
      </c>
      <c r="K1897" s="1142">
        <v>74</v>
      </c>
      <c r="L1897" s="1142">
        <v>40</v>
      </c>
      <c r="M1897" s="1142">
        <v>21</v>
      </c>
      <c r="N1897" s="1143">
        <v>12</v>
      </c>
      <c r="O1897" s="1144">
        <v>662</v>
      </c>
      <c r="P1897" s="323"/>
      <c r="Q1897" s="323"/>
      <c r="R1897" s="326"/>
      <c r="S1897" s="326"/>
      <c r="T1897" s="327"/>
      <c r="U1897" s="326"/>
      <c r="V1897" s="328"/>
      <c r="W1897" s="323"/>
      <c r="X1897" s="323"/>
      <c r="Y1897" s="323"/>
    </row>
    <row r="1898" spans="1:25" s="1130" customFormat="1" ht="13.2" hidden="1">
      <c r="A1898" s="1321"/>
      <c r="B1898" s="1137" t="s">
        <v>18</v>
      </c>
      <c r="C1898" s="1134">
        <v>13</v>
      </c>
      <c r="D1898" s="1135">
        <v>25</v>
      </c>
      <c r="E1898" s="1135">
        <v>56</v>
      </c>
      <c r="F1898" s="1135">
        <v>72</v>
      </c>
      <c r="G1898" s="1135">
        <v>87</v>
      </c>
      <c r="H1898" s="1135">
        <v>118</v>
      </c>
      <c r="I1898" s="1135">
        <v>101</v>
      </c>
      <c r="J1898" s="1135">
        <v>92</v>
      </c>
      <c r="K1898" s="1135">
        <v>56</v>
      </c>
      <c r="L1898" s="1135">
        <v>30</v>
      </c>
      <c r="M1898" s="1135">
        <v>16</v>
      </c>
      <c r="N1898" s="1136">
        <v>9</v>
      </c>
      <c r="O1898" s="1145">
        <v>495</v>
      </c>
      <c r="P1898" s="323"/>
      <c r="Q1898" s="323"/>
      <c r="R1898" s="326"/>
      <c r="S1898" s="326"/>
      <c r="T1898" s="327"/>
      <c r="U1898" s="326"/>
      <c r="V1898" s="328"/>
      <c r="W1898" s="323"/>
      <c r="X1898" s="323"/>
      <c r="Y1898" s="323"/>
    </row>
    <row r="1899" spans="1:25" s="1130" customFormat="1" ht="13.2" hidden="1">
      <c r="A1899" s="1319" t="s">
        <v>12</v>
      </c>
      <c r="B1899" s="1140" t="s">
        <v>15</v>
      </c>
      <c r="C1899" s="1141">
        <v>19</v>
      </c>
      <c r="D1899" s="1142">
        <v>35</v>
      </c>
      <c r="E1899" s="1142">
        <v>75</v>
      </c>
      <c r="F1899" s="1142">
        <v>108</v>
      </c>
      <c r="G1899" s="1142">
        <v>146</v>
      </c>
      <c r="H1899" s="1142">
        <v>192</v>
      </c>
      <c r="I1899" s="1142">
        <v>169</v>
      </c>
      <c r="J1899" s="1142">
        <v>145</v>
      </c>
      <c r="K1899" s="1142">
        <v>85</v>
      </c>
      <c r="L1899" s="1142">
        <v>45</v>
      </c>
      <c r="M1899" s="1142">
        <v>25</v>
      </c>
      <c r="N1899" s="1143">
        <v>15</v>
      </c>
      <c r="O1899" s="1144">
        <v>776</v>
      </c>
      <c r="P1899" s="323"/>
      <c r="Q1899" s="323"/>
      <c r="R1899" s="326"/>
      <c r="S1899" s="326"/>
      <c r="T1899" s="327"/>
      <c r="U1899" s="326"/>
      <c r="V1899" s="328"/>
      <c r="W1899" s="323"/>
      <c r="X1899" s="323"/>
      <c r="Y1899" s="323"/>
    </row>
    <row r="1900" spans="1:25" s="1130" customFormat="1" ht="13.2" hidden="1">
      <c r="A1900" s="1320"/>
      <c r="B1900" s="1140" t="s">
        <v>16</v>
      </c>
      <c r="C1900" s="1141">
        <v>17</v>
      </c>
      <c r="D1900" s="1142">
        <v>32</v>
      </c>
      <c r="E1900" s="1142">
        <v>60</v>
      </c>
      <c r="F1900" s="1142">
        <v>87</v>
      </c>
      <c r="G1900" s="1142">
        <v>123</v>
      </c>
      <c r="H1900" s="1142">
        <v>165</v>
      </c>
      <c r="I1900" s="1142">
        <v>144</v>
      </c>
      <c r="J1900" s="1142">
        <v>118</v>
      </c>
      <c r="K1900" s="1142">
        <v>68</v>
      </c>
      <c r="L1900" s="1142">
        <v>40</v>
      </c>
      <c r="M1900" s="1142">
        <v>22</v>
      </c>
      <c r="N1900" s="1143">
        <v>13</v>
      </c>
      <c r="O1900" s="1144">
        <v>652</v>
      </c>
      <c r="P1900" s="323"/>
      <c r="Q1900" s="323"/>
      <c r="R1900" s="326"/>
      <c r="S1900" s="326"/>
      <c r="T1900" s="327"/>
      <c r="U1900" s="326"/>
      <c r="V1900" s="328"/>
      <c r="W1900" s="323"/>
      <c r="X1900" s="323"/>
      <c r="Y1900" s="323"/>
    </row>
    <row r="1901" spans="1:25" s="1130" customFormat="1" ht="13.2" hidden="1">
      <c r="A1901" s="1320"/>
      <c r="B1901" s="1140" t="s">
        <v>17</v>
      </c>
      <c r="C1901" s="1141">
        <v>16</v>
      </c>
      <c r="D1901" s="1142">
        <v>29</v>
      </c>
      <c r="E1901" s="1142">
        <v>54</v>
      </c>
      <c r="F1901" s="1142">
        <v>73</v>
      </c>
      <c r="G1901" s="1142">
        <v>100</v>
      </c>
      <c r="H1901" s="1142">
        <v>133</v>
      </c>
      <c r="I1901" s="1142">
        <v>117</v>
      </c>
      <c r="J1901" s="1142">
        <v>95</v>
      </c>
      <c r="K1901" s="1142">
        <v>60</v>
      </c>
      <c r="L1901" s="1142">
        <v>36</v>
      </c>
      <c r="M1901" s="1142">
        <v>20</v>
      </c>
      <c r="N1901" s="1143">
        <v>12</v>
      </c>
      <c r="O1901" s="1144">
        <v>544</v>
      </c>
      <c r="P1901" s="323"/>
      <c r="Q1901" s="323"/>
      <c r="R1901" s="326"/>
      <c r="S1901" s="326"/>
      <c r="T1901" s="327"/>
      <c r="U1901" s="326"/>
      <c r="V1901" s="328"/>
      <c r="W1901" s="323"/>
      <c r="X1901" s="323"/>
      <c r="Y1901" s="323"/>
    </row>
    <row r="1902" spans="1:25" s="1130" customFormat="1" ht="13.2" hidden="1">
      <c r="A1902" s="1321"/>
      <c r="B1902" s="1137" t="s">
        <v>18</v>
      </c>
      <c r="C1902" s="1134">
        <v>12</v>
      </c>
      <c r="D1902" s="1135">
        <v>22</v>
      </c>
      <c r="E1902" s="1135">
        <v>44</v>
      </c>
      <c r="F1902" s="1135">
        <v>56</v>
      </c>
      <c r="G1902" s="1135">
        <v>73</v>
      </c>
      <c r="H1902" s="1135">
        <v>95</v>
      </c>
      <c r="I1902" s="1135">
        <v>84</v>
      </c>
      <c r="J1902" s="1135">
        <v>72</v>
      </c>
      <c r="K1902" s="1135">
        <v>46</v>
      </c>
      <c r="L1902" s="1135">
        <v>27</v>
      </c>
      <c r="M1902" s="1135">
        <v>15</v>
      </c>
      <c r="N1902" s="1136">
        <v>9</v>
      </c>
      <c r="O1902" s="1145">
        <v>406</v>
      </c>
      <c r="P1902" s="323"/>
      <c r="Q1902" s="323"/>
      <c r="R1902" s="326"/>
      <c r="S1902" s="326"/>
      <c r="T1902" s="327"/>
      <c r="U1902" s="326"/>
      <c r="V1902" s="328"/>
      <c r="W1902" s="323"/>
      <c r="X1902" s="323"/>
      <c r="Y1902" s="323"/>
    </row>
    <row r="1903" spans="1:25" s="1130" customFormat="1" ht="39.6" hidden="1">
      <c r="A1903" s="1146"/>
      <c r="B1903" s="1147"/>
      <c r="C1903" s="1375" t="s">
        <v>3363</v>
      </c>
      <c r="D1903" s="1376"/>
      <c r="E1903" s="1376"/>
      <c r="F1903" s="1376"/>
      <c r="G1903" s="1376"/>
      <c r="H1903" s="1376"/>
      <c r="I1903" s="1376"/>
      <c r="J1903" s="1376"/>
      <c r="K1903" s="1376"/>
      <c r="L1903" s="1376"/>
      <c r="M1903" s="1376"/>
      <c r="N1903" s="1377"/>
      <c r="O1903" s="1131" t="s">
        <v>3364</v>
      </c>
      <c r="P1903" s="323"/>
      <c r="Q1903" s="323"/>
      <c r="R1903" s="326"/>
      <c r="S1903" s="326"/>
      <c r="T1903" s="327"/>
      <c r="U1903" s="326"/>
      <c r="V1903" s="328"/>
      <c r="W1903" s="323"/>
      <c r="X1903" s="323"/>
      <c r="Y1903" s="323"/>
    </row>
    <row r="1904" spans="1:25" s="1130" customFormat="1" ht="12.75" hidden="1" customHeight="1">
      <c r="A1904" s="1148" t="s">
        <v>1894</v>
      </c>
      <c r="B1904" s="1149"/>
      <c r="C1904" s="1150">
        <v>1</v>
      </c>
      <c r="D1904" s="1151">
        <v>2.1</v>
      </c>
      <c r="E1904" s="1151">
        <v>5.2</v>
      </c>
      <c r="F1904" s="1151">
        <v>8.8000000000000007</v>
      </c>
      <c r="G1904" s="1151">
        <v>13.3</v>
      </c>
      <c r="H1904" s="1151">
        <v>15.9</v>
      </c>
      <c r="I1904" s="1151">
        <v>18.100000000000001</v>
      </c>
      <c r="J1904" s="1151">
        <v>17.8</v>
      </c>
      <c r="K1904" s="1151">
        <v>13.7</v>
      </c>
      <c r="L1904" s="1151">
        <v>9.5</v>
      </c>
      <c r="M1904" s="1151">
        <v>4.5</v>
      </c>
      <c r="N1904" s="1152">
        <v>1.7</v>
      </c>
      <c r="O1904" s="1153">
        <v>9.3000000000000007</v>
      </c>
      <c r="P1904" s="323"/>
      <c r="Q1904" s="323"/>
      <c r="R1904" s="326"/>
      <c r="S1904" s="326"/>
      <c r="T1904" s="327"/>
      <c r="U1904" s="326"/>
      <c r="V1904" s="328"/>
      <c r="W1904" s="323"/>
      <c r="X1904" s="323"/>
      <c r="Y1904" s="323"/>
    </row>
    <row r="1905" spans="1:25" s="1130" customFormat="1" ht="13.2" hidden="1">
      <c r="P1905" s="1155"/>
      <c r="Q1905" s="1129"/>
    </row>
    <row r="1906" spans="1:25" s="1130" customFormat="1" ht="13.2" hidden="1">
      <c r="P1906" s="1155"/>
      <c r="Q1906" s="1129"/>
    </row>
    <row r="1907" spans="1:25" s="1130" customFormat="1" ht="13.2" hidden="1">
      <c r="A1907" s="1129" t="s">
        <v>3377</v>
      </c>
      <c r="Q1907" s="1129"/>
    </row>
    <row r="1908" spans="1:25" s="1130" customFormat="1" ht="13.2" hidden="1">
      <c r="Q1908" s="1129"/>
    </row>
    <row r="1909" spans="1:25" s="1130" customFormat="1" ht="66" hidden="1">
      <c r="A1909" s="1314" t="s">
        <v>3378</v>
      </c>
      <c r="B1909" s="1315"/>
      <c r="C1909" s="1316" t="s">
        <v>3355</v>
      </c>
      <c r="D1909" s="1317"/>
      <c r="E1909" s="1317"/>
      <c r="F1909" s="1317"/>
      <c r="G1909" s="1317"/>
      <c r="H1909" s="1317"/>
      <c r="I1909" s="1317"/>
      <c r="J1909" s="1317"/>
      <c r="K1909" s="1317"/>
      <c r="L1909" s="1317"/>
      <c r="M1909" s="1317"/>
      <c r="N1909" s="1318"/>
      <c r="O1909" s="1131" t="s">
        <v>3356</v>
      </c>
      <c r="P1909" s="323"/>
      <c r="Q1909" s="1156">
        <v>8</v>
      </c>
      <c r="R1909" s="326"/>
      <c r="S1909" s="326"/>
      <c r="T1909" s="327"/>
      <c r="U1909" s="326"/>
      <c r="V1909" s="328"/>
      <c r="W1909" s="323"/>
      <c r="X1909" s="323"/>
      <c r="Y1909" s="323"/>
    </row>
    <row r="1910" spans="1:25" s="1130" customFormat="1" ht="13.2" hidden="1">
      <c r="A1910" s="1132" t="s">
        <v>77</v>
      </c>
      <c r="B1910" s="1133" t="s">
        <v>1795</v>
      </c>
      <c r="C1910" s="1134" t="s">
        <v>116</v>
      </c>
      <c r="D1910" s="1135" t="s">
        <v>117</v>
      </c>
      <c r="E1910" s="1135" t="s">
        <v>118</v>
      </c>
      <c r="F1910" s="1135" t="s">
        <v>119</v>
      </c>
      <c r="G1910" s="1135" t="s">
        <v>120</v>
      </c>
      <c r="H1910" s="1135" t="s">
        <v>121</v>
      </c>
      <c r="I1910" s="1135" t="s">
        <v>122</v>
      </c>
      <c r="J1910" s="1135" t="s">
        <v>123</v>
      </c>
      <c r="K1910" s="1135" t="s">
        <v>124</v>
      </c>
      <c r="L1910" s="1135" t="s">
        <v>125</v>
      </c>
      <c r="M1910" s="1135" t="s">
        <v>126</v>
      </c>
      <c r="N1910" s="1136" t="s">
        <v>127</v>
      </c>
      <c r="O1910" s="1137" t="s">
        <v>3357</v>
      </c>
      <c r="P1910" s="323"/>
      <c r="Q1910" s="323"/>
      <c r="R1910" s="326"/>
      <c r="S1910" s="326"/>
      <c r="T1910" s="327"/>
      <c r="U1910" s="326"/>
      <c r="V1910" s="328"/>
      <c r="W1910" s="323"/>
      <c r="X1910" s="323"/>
      <c r="Y1910" s="323"/>
    </row>
    <row r="1911" spans="1:25" s="1130" customFormat="1" ht="13.2" hidden="1">
      <c r="A1911" s="1138" t="s">
        <v>3358</v>
      </c>
      <c r="B1911" s="1137" t="s">
        <v>14</v>
      </c>
      <c r="C1911" s="1134">
        <v>26</v>
      </c>
      <c r="D1911" s="1135">
        <v>59</v>
      </c>
      <c r="E1911" s="1135">
        <v>106</v>
      </c>
      <c r="F1911" s="1135">
        <v>146</v>
      </c>
      <c r="G1911" s="1135">
        <v>208</v>
      </c>
      <c r="H1911" s="1135">
        <v>210</v>
      </c>
      <c r="I1911" s="1135">
        <v>195</v>
      </c>
      <c r="J1911" s="1135">
        <v>165</v>
      </c>
      <c r="K1911" s="1135">
        <v>120</v>
      </c>
      <c r="L1911" s="1135">
        <v>80</v>
      </c>
      <c r="M1911" s="1135">
        <v>26</v>
      </c>
      <c r="N1911" s="1136">
        <v>18</v>
      </c>
      <c r="O1911" s="1139">
        <v>994</v>
      </c>
      <c r="P1911" s="323"/>
      <c r="Q1911" s="323"/>
      <c r="R1911" s="326"/>
      <c r="S1911" s="326"/>
      <c r="T1911" s="327"/>
      <c r="U1911" s="326"/>
      <c r="V1911" s="328"/>
      <c r="W1911" s="323"/>
      <c r="X1911" s="323"/>
      <c r="Y1911" s="323"/>
    </row>
    <row r="1912" spans="1:25" s="1130" customFormat="1" ht="13.2" hidden="1">
      <c r="A1912" s="1319" t="s">
        <v>11</v>
      </c>
      <c r="B1912" s="1140" t="s">
        <v>15</v>
      </c>
      <c r="C1912" s="1141">
        <v>39</v>
      </c>
      <c r="D1912" s="1142">
        <v>87</v>
      </c>
      <c r="E1912" s="1142">
        <v>127</v>
      </c>
      <c r="F1912" s="1142">
        <v>157</v>
      </c>
      <c r="G1912" s="1142">
        <v>211</v>
      </c>
      <c r="H1912" s="1142">
        <v>207</v>
      </c>
      <c r="I1912" s="1142">
        <v>193</v>
      </c>
      <c r="J1912" s="1142">
        <v>172</v>
      </c>
      <c r="K1912" s="1142">
        <v>137</v>
      </c>
      <c r="L1912" s="1142">
        <v>104</v>
      </c>
      <c r="M1912" s="1142">
        <v>30</v>
      </c>
      <c r="N1912" s="1143">
        <v>24</v>
      </c>
      <c r="O1912" s="1144">
        <v>1088</v>
      </c>
      <c r="P1912" s="323"/>
      <c r="Q1912" s="323"/>
      <c r="R1912" s="326"/>
      <c r="S1912" s="326"/>
      <c r="T1912" s="327"/>
      <c r="U1912" s="326"/>
      <c r="V1912" s="328"/>
      <c r="W1912" s="323"/>
      <c r="X1912" s="323"/>
      <c r="Y1912" s="323"/>
    </row>
    <row r="1913" spans="1:25" s="1130" customFormat="1" ht="13.2" hidden="1">
      <c r="A1913" s="1320"/>
      <c r="B1913" s="1140" t="s">
        <v>16</v>
      </c>
      <c r="C1913" s="1141">
        <v>43</v>
      </c>
      <c r="D1913" s="1142">
        <v>95</v>
      </c>
      <c r="E1913" s="1142">
        <v>130</v>
      </c>
      <c r="F1913" s="1142">
        <v>152</v>
      </c>
      <c r="G1913" s="1142">
        <v>198</v>
      </c>
      <c r="H1913" s="1142">
        <v>193</v>
      </c>
      <c r="I1913" s="1142">
        <v>180</v>
      </c>
      <c r="J1913" s="1142">
        <v>164</v>
      </c>
      <c r="K1913" s="1142">
        <v>136</v>
      </c>
      <c r="L1913" s="1142">
        <v>110</v>
      </c>
      <c r="M1913" s="1142">
        <v>31</v>
      </c>
      <c r="N1913" s="1143">
        <v>26</v>
      </c>
      <c r="O1913" s="1144">
        <v>1065</v>
      </c>
      <c r="P1913" s="323"/>
      <c r="Q1913" s="323"/>
      <c r="R1913" s="326"/>
      <c r="S1913" s="326"/>
      <c r="T1913" s="327"/>
      <c r="U1913" s="326"/>
      <c r="V1913" s="328"/>
      <c r="W1913" s="323"/>
      <c r="X1913" s="323"/>
      <c r="Y1913" s="323"/>
    </row>
    <row r="1914" spans="1:25" s="1130" customFormat="1" ht="13.2" hidden="1">
      <c r="A1914" s="1320"/>
      <c r="B1914" s="1140" t="s">
        <v>17</v>
      </c>
      <c r="C1914" s="1141">
        <v>44</v>
      </c>
      <c r="D1914" s="1142">
        <v>99</v>
      </c>
      <c r="E1914" s="1142">
        <v>126</v>
      </c>
      <c r="F1914" s="1142">
        <v>141</v>
      </c>
      <c r="G1914" s="1142">
        <v>178</v>
      </c>
      <c r="H1914" s="1142">
        <v>171</v>
      </c>
      <c r="I1914" s="1142">
        <v>161</v>
      </c>
      <c r="J1914" s="1142">
        <v>150</v>
      </c>
      <c r="K1914" s="1142">
        <v>129</v>
      </c>
      <c r="L1914" s="1142">
        <v>110</v>
      </c>
      <c r="M1914" s="1142">
        <v>30</v>
      </c>
      <c r="N1914" s="1143">
        <v>27</v>
      </c>
      <c r="O1914" s="1144">
        <v>997</v>
      </c>
      <c r="P1914" s="323"/>
      <c r="Q1914" s="323"/>
      <c r="R1914" s="326"/>
      <c r="S1914" s="326"/>
      <c r="T1914" s="327"/>
      <c r="U1914" s="326"/>
      <c r="V1914" s="328"/>
      <c r="W1914" s="323"/>
      <c r="X1914" s="323"/>
      <c r="Y1914" s="323"/>
    </row>
    <row r="1915" spans="1:25" s="1130" customFormat="1" ht="13.2" hidden="1">
      <c r="A1915" s="1321"/>
      <c r="B1915" s="1137" t="s">
        <v>18</v>
      </c>
      <c r="C1915" s="1134">
        <v>41</v>
      </c>
      <c r="D1915" s="1135">
        <v>89</v>
      </c>
      <c r="E1915" s="1135">
        <v>102</v>
      </c>
      <c r="F1915" s="1135">
        <v>104</v>
      </c>
      <c r="G1915" s="1135">
        <v>122</v>
      </c>
      <c r="H1915" s="1135">
        <v>115</v>
      </c>
      <c r="I1915" s="1135">
        <v>110</v>
      </c>
      <c r="J1915" s="1135">
        <v>107</v>
      </c>
      <c r="K1915" s="1135">
        <v>101</v>
      </c>
      <c r="L1915" s="1135">
        <v>94</v>
      </c>
      <c r="M1915" s="1135">
        <v>25</v>
      </c>
      <c r="N1915" s="1136">
        <v>24</v>
      </c>
      <c r="O1915" s="1145">
        <v>755</v>
      </c>
      <c r="P1915" s="323"/>
      <c r="Q1915" s="323"/>
      <c r="R1915" s="326"/>
      <c r="S1915" s="326"/>
      <c r="T1915" s="327"/>
      <c r="U1915" s="326"/>
      <c r="V1915" s="328"/>
      <c r="W1915" s="323"/>
      <c r="X1915" s="323"/>
      <c r="Y1915" s="323"/>
    </row>
    <row r="1916" spans="1:25" s="1130" customFormat="1" ht="13.2" hidden="1">
      <c r="A1916" s="1319" t="s">
        <v>3359</v>
      </c>
      <c r="B1916" s="1140" t="s">
        <v>15</v>
      </c>
      <c r="C1916" s="1141">
        <v>36</v>
      </c>
      <c r="D1916" s="1142">
        <v>83</v>
      </c>
      <c r="E1916" s="1142">
        <v>126</v>
      </c>
      <c r="F1916" s="1142">
        <v>158</v>
      </c>
      <c r="G1916" s="1142">
        <v>214</v>
      </c>
      <c r="H1916" s="1142">
        <v>205</v>
      </c>
      <c r="I1916" s="1142">
        <v>196</v>
      </c>
      <c r="J1916" s="1142">
        <v>171</v>
      </c>
      <c r="K1916" s="1142">
        <v>136</v>
      </c>
      <c r="L1916" s="1142">
        <v>101</v>
      </c>
      <c r="M1916" s="1142">
        <v>29</v>
      </c>
      <c r="N1916" s="1143">
        <v>24</v>
      </c>
      <c r="O1916" s="1144">
        <v>1081</v>
      </c>
      <c r="P1916" s="323"/>
      <c r="Q1916" s="323"/>
      <c r="R1916" s="326"/>
      <c r="S1916" s="326"/>
      <c r="T1916" s="327"/>
      <c r="U1916" s="326"/>
      <c r="V1916" s="328"/>
      <c r="W1916" s="323"/>
      <c r="X1916" s="323"/>
      <c r="Y1916" s="323"/>
    </row>
    <row r="1917" spans="1:25" s="1130" customFormat="1" ht="13.2" hidden="1">
      <c r="A1917" s="1320"/>
      <c r="B1917" s="1140" t="s">
        <v>16</v>
      </c>
      <c r="C1917" s="1141">
        <v>39</v>
      </c>
      <c r="D1917" s="1142">
        <v>89</v>
      </c>
      <c r="E1917" s="1142">
        <v>128</v>
      </c>
      <c r="F1917" s="1142">
        <v>154</v>
      </c>
      <c r="G1917" s="1142">
        <v>203</v>
      </c>
      <c r="H1917" s="1142">
        <v>191</v>
      </c>
      <c r="I1917" s="1142">
        <v>184</v>
      </c>
      <c r="J1917" s="1142">
        <v>164</v>
      </c>
      <c r="K1917" s="1142">
        <v>135</v>
      </c>
      <c r="L1917" s="1142">
        <v>105</v>
      </c>
      <c r="M1917" s="1142">
        <v>29</v>
      </c>
      <c r="N1917" s="1143">
        <v>25</v>
      </c>
      <c r="O1917" s="1144">
        <v>1058</v>
      </c>
      <c r="P1917" s="323"/>
      <c r="Q1917" s="323"/>
      <c r="R1917" s="326"/>
      <c r="S1917" s="326"/>
      <c r="T1917" s="327"/>
      <c r="U1917" s="326"/>
      <c r="V1917" s="328"/>
      <c r="W1917" s="323"/>
      <c r="X1917" s="323"/>
      <c r="Y1917" s="323"/>
    </row>
    <row r="1918" spans="1:25" s="1130" customFormat="1" ht="13.2" hidden="1">
      <c r="A1918" s="1320"/>
      <c r="B1918" s="1140" t="s">
        <v>17</v>
      </c>
      <c r="C1918" s="1141">
        <v>40</v>
      </c>
      <c r="D1918" s="1142">
        <v>91</v>
      </c>
      <c r="E1918" s="1142">
        <v>124</v>
      </c>
      <c r="F1918" s="1142">
        <v>144</v>
      </c>
      <c r="G1918" s="1142">
        <v>186</v>
      </c>
      <c r="H1918" s="1142">
        <v>171</v>
      </c>
      <c r="I1918" s="1142">
        <v>167</v>
      </c>
      <c r="J1918" s="1142">
        <v>151</v>
      </c>
      <c r="K1918" s="1142">
        <v>129</v>
      </c>
      <c r="L1918" s="1142">
        <v>104</v>
      </c>
      <c r="M1918" s="1142">
        <v>28</v>
      </c>
      <c r="N1918" s="1143">
        <v>25</v>
      </c>
      <c r="O1918" s="1144">
        <v>995</v>
      </c>
      <c r="P1918" s="323"/>
      <c r="Q1918" s="323"/>
      <c r="R1918" s="326"/>
      <c r="S1918" s="326"/>
      <c r="T1918" s="327"/>
      <c r="U1918" s="326"/>
      <c r="V1918" s="328"/>
      <c r="W1918" s="323"/>
      <c r="X1918" s="323"/>
      <c r="Y1918" s="323"/>
    </row>
    <row r="1919" spans="1:25" s="1130" customFormat="1" ht="13.2" hidden="1">
      <c r="A1919" s="1321"/>
      <c r="B1919" s="1137" t="s">
        <v>18</v>
      </c>
      <c r="C1919" s="1134">
        <v>37</v>
      </c>
      <c r="D1919" s="1135">
        <v>81</v>
      </c>
      <c r="E1919" s="1135">
        <v>101</v>
      </c>
      <c r="F1919" s="1135">
        <v>110</v>
      </c>
      <c r="G1919" s="1135">
        <v>136</v>
      </c>
      <c r="H1919" s="1135">
        <v>121</v>
      </c>
      <c r="I1919" s="1135">
        <v>120</v>
      </c>
      <c r="J1919" s="1135">
        <v>112</v>
      </c>
      <c r="K1919" s="1135">
        <v>102</v>
      </c>
      <c r="L1919" s="1135">
        <v>88</v>
      </c>
      <c r="M1919" s="1135">
        <v>23</v>
      </c>
      <c r="N1919" s="1136">
        <v>23</v>
      </c>
      <c r="O1919" s="1145">
        <v>770</v>
      </c>
      <c r="P1919" s="323"/>
      <c r="Q1919" s="323"/>
      <c r="R1919" s="326"/>
      <c r="S1919" s="326"/>
      <c r="T1919" s="327"/>
      <c r="U1919" s="326"/>
      <c r="V1919" s="328"/>
      <c r="W1919" s="323"/>
      <c r="X1919" s="323"/>
      <c r="Y1919" s="323"/>
    </row>
    <row r="1920" spans="1:25" s="1130" customFormat="1" ht="13.2" hidden="1">
      <c r="A1920" s="1319" t="s">
        <v>3360</v>
      </c>
      <c r="B1920" s="1140" t="s">
        <v>15</v>
      </c>
      <c r="C1920" s="1141">
        <v>33</v>
      </c>
      <c r="D1920" s="1142">
        <v>73</v>
      </c>
      <c r="E1920" s="1142">
        <v>114</v>
      </c>
      <c r="F1920" s="1142">
        <v>146</v>
      </c>
      <c r="G1920" s="1142">
        <v>201</v>
      </c>
      <c r="H1920" s="1142">
        <v>203</v>
      </c>
      <c r="I1920" s="1142">
        <v>186</v>
      </c>
      <c r="J1920" s="1142">
        <v>163</v>
      </c>
      <c r="K1920" s="1142">
        <v>124</v>
      </c>
      <c r="L1920" s="1142">
        <v>91</v>
      </c>
      <c r="M1920" s="1142">
        <v>28</v>
      </c>
      <c r="N1920" s="1143">
        <v>21</v>
      </c>
      <c r="O1920" s="1144">
        <v>1009</v>
      </c>
      <c r="P1920" s="323"/>
      <c r="Q1920" s="323"/>
      <c r="R1920" s="326"/>
      <c r="S1920" s="326"/>
      <c r="T1920" s="327"/>
      <c r="U1920" s="326"/>
      <c r="V1920" s="328"/>
      <c r="W1920" s="323"/>
      <c r="X1920" s="323"/>
      <c r="Y1920" s="323"/>
    </row>
    <row r="1921" spans="1:25" s="1130" customFormat="1" ht="13.2" hidden="1">
      <c r="A1921" s="1320"/>
      <c r="B1921" s="1140" t="s">
        <v>16</v>
      </c>
      <c r="C1921" s="1141">
        <v>34</v>
      </c>
      <c r="D1921" s="1142">
        <v>75</v>
      </c>
      <c r="E1921" s="1142">
        <v>111</v>
      </c>
      <c r="F1921" s="1142">
        <v>138</v>
      </c>
      <c r="G1921" s="1142">
        <v>187</v>
      </c>
      <c r="H1921" s="1142">
        <v>188</v>
      </c>
      <c r="I1921" s="1142">
        <v>172</v>
      </c>
      <c r="J1921" s="1142">
        <v>153</v>
      </c>
      <c r="K1921" s="1142">
        <v>119</v>
      </c>
      <c r="L1921" s="1142">
        <v>91</v>
      </c>
      <c r="M1921" s="1142">
        <v>27</v>
      </c>
      <c r="N1921" s="1143">
        <v>21</v>
      </c>
      <c r="O1921" s="1144">
        <v>962</v>
      </c>
      <c r="P1921" s="323"/>
      <c r="Q1921" s="323"/>
      <c r="R1921" s="326"/>
      <c r="S1921" s="326"/>
      <c r="T1921" s="327"/>
      <c r="U1921" s="326"/>
      <c r="V1921" s="328"/>
      <c r="W1921" s="323"/>
      <c r="X1921" s="323"/>
      <c r="Y1921" s="323"/>
    </row>
    <row r="1922" spans="1:25" s="1130" customFormat="1" ht="13.2" hidden="1">
      <c r="A1922" s="1320"/>
      <c r="B1922" s="1140" t="s">
        <v>17</v>
      </c>
      <c r="C1922" s="1141">
        <v>34</v>
      </c>
      <c r="D1922" s="1142">
        <v>74</v>
      </c>
      <c r="E1922" s="1142">
        <v>105</v>
      </c>
      <c r="F1922" s="1142">
        <v>126</v>
      </c>
      <c r="G1922" s="1142">
        <v>168</v>
      </c>
      <c r="H1922" s="1142">
        <v>169</v>
      </c>
      <c r="I1922" s="1142">
        <v>153</v>
      </c>
      <c r="J1922" s="1142">
        <v>139</v>
      </c>
      <c r="K1922" s="1142">
        <v>110</v>
      </c>
      <c r="L1922" s="1142">
        <v>87</v>
      </c>
      <c r="M1922" s="1142">
        <v>25</v>
      </c>
      <c r="N1922" s="1143">
        <v>20</v>
      </c>
      <c r="O1922" s="1144">
        <v>884</v>
      </c>
      <c r="P1922" s="323"/>
      <c r="Q1922" s="323"/>
      <c r="R1922" s="326"/>
      <c r="S1922" s="326"/>
      <c r="T1922" s="327"/>
      <c r="U1922" s="326"/>
      <c r="V1922" s="328"/>
      <c r="W1922" s="323"/>
      <c r="X1922" s="323"/>
      <c r="Y1922" s="323"/>
    </row>
    <row r="1923" spans="1:25" s="1130" customFormat="1" ht="13.2" hidden="1">
      <c r="A1923" s="1321"/>
      <c r="B1923" s="1137" t="s">
        <v>18</v>
      </c>
      <c r="C1923" s="1134">
        <v>29</v>
      </c>
      <c r="D1923" s="1135">
        <v>62</v>
      </c>
      <c r="E1923" s="1135">
        <v>81</v>
      </c>
      <c r="F1923" s="1135">
        <v>93</v>
      </c>
      <c r="G1923" s="1135">
        <v>119</v>
      </c>
      <c r="H1923" s="1135">
        <v>119</v>
      </c>
      <c r="I1923" s="1135">
        <v>108</v>
      </c>
      <c r="J1923" s="1135">
        <v>101</v>
      </c>
      <c r="K1923" s="1135">
        <v>83</v>
      </c>
      <c r="L1923" s="1135">
        <v>70</v>
      </c>
      <c r="M1923" s="1135">
        <v>20</v>
      </c>
      <c r="N1923" s="1136">
        <v>17</v>
      </c>
      <c r="O1923" s="1145">
        <v>658</v>
      </c>
      <c r="P1923" s="323"/>
      <c r="Q1923" s="323"/>
      <c r="R1923" s="326"/>
      <c r="S1923" s="326"/>
      <c r="T1923" s="327"/>
      <c r="U1923" s="326"/>
      <c r="V1923" s="328"/>
      <c r="W1923" s="323"/>
      <c r="X1923" s="323"/>
      <c r="Y1923" s="323"/>
    </row>
    <row r="1924" spans="1:25" s="1130" customFormat="1" ht="13.2" hidden="1">
      <c r="A1924" s="1319" t="s">
        <v>980</v>
      </c>
      <c r="B1924" s="1140" t="s">
        <v>15</v>
      </c>
      <c r="C1924" s="1141">
        <v>27</v>
      </c>
      <c r="D1924" s="1142">
        <v>63</v>
      </c>
      <c r="E1924" s="1142">
        <v>108</v>
      </c>
      <c r="F1924" s="1142">
        <v>146</v>
      </c>
      <c r="G1924" s="1142">
        <v>205</v>
      </c>
      <c r="H1924" s="1142">
        <v>197</v>
      </c>
      <c r="I1924" s="1142">
        <v>190</v>
      </c>
      <c r="J1924" s="1142">
        <v>160</v>
      </c>
      <c r="K1924" s="1142">
        <v>121</v>
      </c>
      <c r="L1924" s="1142">
        <v>82</v>
      </c>
      <c r="M1924" s="1142">
        <v>25</v>
      </c>
      <c r="N1924" s="1143">
        <v>19</v>
      </c>
      <c r="O1924" s="1144">
        <v>983</v>
      </c>
      <c r="P1924" s="323"/>
      <c r="Q1924" s="323"/>
      <c r="R1924" s="326"/>
      <c r="S1924" s="326"/>
      <c r="T1924" s="327"/>
      <c r="U1924" s="326"/>
      <c r="V1924" s="328"/>
      <c r="W1924" s="323"/>
      <c r="X1924" s="323"/>
      <c r="Y1924" s="323"/>
    </row>
    <row r="1925" spans="1:25" s="1130" customFormat="1" ht="13.2" hidden="1">
      <c r="A1925" s="1320"/>
      <c r="B1925" s="1140" t="s">
        <v>16</v>
      </c>
      <c r="C1925" s="1141">
        <v>27</v>
      </c>
      <c r="D1925" s="1142">
        <v>62</v>
      </c>
      <c r="E1925" s="1142">
        <v>105</v>
      </c>
      <c r="F1925" s="1142">
        <v>139</v>
      </c>
      <c r="G1925" s="1142">
        <v>193</v>
      </c>
      <c r="H1925" s="1142">
        <v>182</v>
      </c>
      <c r="I1925" s="1142">
        <v>178</v>
      </c>
      <c r="J1925" s="1142">
        <v>151</v>
      </c>
      <c r="K1925" s="1142">
        <v>116</v>
      </c>
      <c r="L1925" s="1142">
        <v>80</v>
      </c>
      <c r="M1925" s="1142">
        <v>24</v>
      </c>
      <c r="N1925" s="1143">
        <v>18</v>
      </c>
      <c r="O1925" s="1144">
        <v>931</v>
      </c>
      <c r="P1925" s="323"/>
      <c r="Q1925" s="323"/>
      <c r="R1925" s="326"/>
      <c r="S1925" s="326"/>
      <c r="T1925" s="327"/>
      <c r="U1925" s="326"/>
      <c r="V1925" s="328"/>
      <c r="W1925" s="323"/>
      <c r="X1925" s="323"/>
      <c r="Y1925" s="323"/>
    </row>
    <row r="1926" spans="1:25" s="1130" customFormat="1" ht="13.2" hidden="1">
      <c r="A1926" s="1320"/>
      <c r="B1926" s="1140" t="s">
        <v>17</v>
      </c>
      <c r="C1926" s="1141">
        <v>25</v>
      </c>
      <c r="D1926" s="1142">
        <v>59</v>
      </c>
      <c r="E1926" s="1142">
        <v>99</v>
      </c>
      <c r="F1926" s="1142">
        <v>129</v>
      </c>
      <c r="G1926" s="1142">
        <v>177</v>
      </c>
      <c r="H1926" s="1142">
        <v>164</v>
      </c>
      <c r="I1926" s="1142">
        <v>161</v>
      </c>
      <c r="J1926" s="1142">
        <v>138</v>
      </c>
      <c r="K1926" s="1142">
        <v>107</v>
      </c>
      <c r="L1926" s="1142">
        <v>75</v>
      </c>
      <c r="M1926" s="1142">
        <v>22</v>
      </c>
      <c r="N1926" s="1143">
        <v>17</v>
      </c>
      <c r="O1926" s="1144">
        <v>859</v>
      </c>
      <c r="P1926" s="323"/>
      <c r="Q1926" s="323"/>
      <c r="R1926" s="326"/>
      <c r="S1926" s="326"/>
      <c r="T1926" s="327"/>
      <c r="U1926" s="326"/>
      <c r="V1926" s="328"/>
      <c r="W1926" s="323"/>
      <c r="X1926" s="323"/>
      <c r="Y1926" s="323"/>
    </row>
    <row r="1927" spans="1:25" s="1130" customFormat="1" ht="13.2" hidden="1">
      <c r="A1927" s="1321"/>
      <c r="B1927" s="1137" t="s">
        <v>18</v>
      </c>
      <c r="C1927" s="1134">
        <v>21</v>
      </c>
      <c r="D1927" s="1135">
        <v>49</v>
      </c>
      <c r="E1927" s="1135">
        <v>79</v>
      </c>
      <c r="F1927" s="1135">
        <v>100</v>
      </c>
      <c r="G1927" s="1135">
        <v>135</v>
      </c>
      <c r="H1927" s="1135">
        <v>121</v>
      </c>
      <c r="I1927" s="1135">
        <v>121</v>
      </c>
      <c r="J1927" s="1135">
        <v>105</v>
      </c>
      <c r="K1927" s="1135">
        <v>84</v>
      </c>
      <c r="L1927" s="1135">
        <v>61</v>
      </c>
      <c r="M1927" s="1135">
        <v>16</v>
      </c>
      <c r="N1927" s="1136">
        <v>14</v>
      </c>
      <c r="O1927" s="1145">
        <v>663</v>
      </c>
      <c r="P1927" s="323"/>
      <c r="Q1927" s="323"/>
      <c r="R1927" s="326"/>
      <c r="S1927" s="326"/>
      <c r="T1927" s="327"/>
      <c r="U1927" s="326"/>
      <c r="V1927" s="328"/>
      <c r="W1927" s="323"/>
      <c r="X1927" s="323"/>
      <c r="Y1927" s="323"/>
    </row>
    <row r="1928" spans="1:25" s="1130" customFormat="1" ht="13.2" hidden="1">
      <c r="A1928" s="1319" t="s">
        <v>981</v>
      </c>
      <c r="B1928" s="1140" t="s">
        <v>15</v>
      </c>
      <c r="C1928" s="1141">
        <v>23</v>
      </c>
      <c r="D1928" s="1142">
        <v>52</v>
      </c>
      <c r="E1928" s="1142">
        <v>93</v>
      </c>
      <c r="F1928" s="1142">
        <v>129</v>
      </c>
      <c r="G1928" s="1142">
        <v>185</v>
      </c>
      <c r="H1928" s="1142">
        <v>192</v>
      </c>
      <c r="I1928" s="1142">
        <v>174</v>
      </c>
      <c r="J1928" s="1142">
        <v>148</v>
      </c>
      <c r="K1928" s="1142">
        <v>106</v>
      </c>
      <c r="L1928" s="1142">
        <v>70</v>
      </c>
      <c r="M1928" s="1142">
        <v>24</v>
      </c>
      <c r="N1928" s="1143">
        <v>16</v>
      </c>
      <c r="O1928" s="1144">
        <v>888</v>
      </c>
      <c r="P1928" s="323"/>
      <c r="Q1928" s="323"/>
      <c r="R1928" s="326"/>
      <c r="S1928" s="326"/>
      <c r="T1928" s="327"/>
      <c r="U1928" s="326"/>
      <c r="V1928" s="328"/>
      <c r="W1928" s="323"/>
      <c r="X1928" s="323"/>
      <c r="Y1928" s="323"/>
    </row>
    <row r="1929" spans="1:25" s="1130" customFormat="1" ht="13.2" hidden="1">
      <c r="A1929" s="1320"/>
      <c r="B1929" s="1140" t="s">
        <v>16</v>
      </c>
      <c r="C1929" s="1141">
        <v>22</v>
      </c>
      <c r="D1929" s="1142">
        <v>49</v>
      </c>
      <c r="E1929" s="1142">
        <v>85</v>
      </c>
      <c r="F1929" s="1142">
        <v>118</v>
      </c>
      <c r="G1929" s="1142">
        <v>168</v>
      </c>
      <c r="H1929" s="1142">
        <v>176</v>
      </c>
      <c r="I1929" s="1142">
        <v>158</v>
      </c>
      <c r="J1929" s="1142">
        <v>136</v>
      </c>
      <c r="K1929" s="1142">
        <v>97</v>
      </c>
      <c r="L1929" s="1142">
        <v>65</v>
      </c>
      <c r="M1929" s="1142">
        <v>22</v>
      </c>
      <c r="N1929" s="1143">
        <v>15</v>
      </c>
      <c r="O1929" s="1144">
        <v>811</v>
      </c>
      <c r="P1929" s="323"/>
      <c r="Q1929" s="323"/>
      <c r="R1929" s="326"/>
      <c r="S1929" s="326"/>
      <c r="T1929" s="327"/>
      <c r="U1929" s="326"/>
      <c r="V1929" s="328"/>
      <c r="W1929" s="323"/>
      <c r="X1929" s="323"/>
      <c r="Y1929" s="323"/>
    </row>
    <row r="1930" spans="1:25" s="1130" customFormat="1" ht="13.2" hidden="1">
      <c r="A1930" s="1320"/>
      <c r="B1930" s="1140" t="s">
        <v>17</v>
      </c>
      <c r="C1930" s="1141">
        <v>20</v>
      </c>
      <c r="D1930" s="1142">
        <v>44</v>
      </c>
      <c r="E1930" s="1142">
        <v>77</v>
      </c>
      <c r="F1930" s="1142">
        <v>105</v>
      </c>
      <c r="G1930" s="1142">
        <v>149</v>
      </c>
      <c r="H1930" s="1142">
        <v>156</v>
      </c>
      <c r="I1930" s="1142">
        <v>140</v>
      </c>
      <c r="J1930" s="1142">
        <v>121</v>
      </c>
      <c r="K1930" s="1142">
        <v>86</v>
      </c>
      <c r="L1930" s="1142">
        <v>59</v>
      </c>
      <c r="M1930" s="1142">
        <v>19</v>
      </c>
      <c r="N1930" s="1143">
        <v>13</v>
      </c>
      <c r="O1930" s="1144">
        <v>725</v>
      </c>
      <c r="P1930" s="323"/>
      <c r="Q1930" s="323"/>
      <c r="R1930" s="326"/>
      <c r="S1930" s="326"/>
      <c r="T1930" s="327"/>
      <c r="U1930" s="326"/>
      <c r="V1930" s="328"/>
      <c r="W1930" s="323"/>
      <c r="X1930" s="323"/>
      <c r="Y1930" s="323"/>
    </row>
    <row r="1931" spans="1:25" s="1130" customFormat="1" ht="13.2" hidden="1">
      <c r="A1931" s="1321"/>
      <c r="B1931" s="1137" t="s">
        <v>18</v>
      </c>
      <c r="C1931" s="1134">
        <v>15</v>
      </c>
      <c r="D1931" s="1135">
        <v>34</v>
      </c>
      <c r="E1931" s="1135">
        <v>58</v>
      </c>
      <c r="F1931" s="1135">
        <v>78</v>
      </c>
      <c r="G1931" s="1135">
        <v>109</v>
      </c>
      <c r="H1931" s="1135">
        <v>113</v>
      </c>
      <c r="I1931" s="1135">
        <v>102</v>
      </c>
      <c r="J1931" s="1135">
        <v>89</v>
      </c>
      <c r="K1931" s="1135">
        <v>64</v>
      </c>
      <c r="L1931" s="1135">
        <v>45</v>
      </c>
      <c r="M1931" s="1135">
        <v>14</v>
      </c>
      <c r="N1931" s="1136">
        <v>10</v>
      </c>
      <c r="O1931" s="1145">
        <v>535</v>
      </c>
      <c r="P1931" s="323"/>
      <c r="Q1931" s="323"/>
      <c r="R1931" s="326"/>
      <c r="S1931" s="326"/>
      <c r="T1931" s="327"/>
      <c r="U1931" s="326"/>
      <c r="V1931" s="328"/>
      <c r="W1931" s="323"/>
      <c r="X1931" s="323"/>
      <c r="Y1931" s="323"/>
    </row>
    <row r="1932" spans="1:25" s="1130" customFormat="1" ht="13.2" hidden="1">
      <c r="A1932" s="1319" t="s">
        <v>3361</v>
      </c>
      <c r="B1932" s="1140" t="s">
        <v>15</v>
      </c>
      <c r="C1932" s="1141">
        <v>18</v>
      </c>
      <c r="D1932" s="1142">
        <v>36</v>
      </c>
      <c r="E1932" s="1142">
        <v>75</v>
      </c>
      <c r="F1932" s="1142">
        <v>113</v>
      </c>
      <c r="G1932" s="1142">
        <v>170</v>
      </c>
      <c r="H1932" s="1142">
        <v>180</v>
      </c>
      <c r="I1932" s="1142">
        <v>164</v>
      </c>
      <c r="J1932" s="1142">
        <v>134</v>
      </c>
      <c r="K1932" s="1142">
        <v>90</v>
      </c>
      <c r="L1932" s="1142">
        <v>53</v>
      </c>
      <c r="M1932" s="1142">
        <v>21</v>
      </c>
      <c r="N1932" s="1143">
        <v>13</v>
      </c>
      <c r="O1932" s="1144">
        <v>782</v>
      </c>
      <c r="P1932" s="323"/>
      <c r="Q1932" s="323"/>
      <c r="R1932" s="326"/>
      <c r="S1932" s="326"/>
      <c r="T1932" s="327"/>
      <c r="U1932" s="326"/>
      <c r="V1932" s="328"/>
      <c r="W1932" s="323"/>
      <c r="X1932" s="323"/>
      <c r="Y1932" s="323"/>
    </row>
    <row r="1933" spans="1:25" s="1130" customFormat="1" ht="13.2" hidden="1">
      <c r="A1933" s="1320"/>
      <c r="B1933" s="1140" t="s">
        <v>16</v>
      </c>
      <c r="C1933" s="1141">
        <v>16</v>
      </c>
      <c r="D1933" s="1142">
        <v>31</v>
      </c>
      <c r="E1933" s="1142">
        <v>64</v>
      </c>
      <c r="F1933" s="1142">
        <v>97</v>
      </c>
      <c r="G1933" s="1142">
        <v>145</v>
      </c>
      <c r="H1933" s="1142">
        <v>157</v>
      </c>
      <c r="I1933" s="1142">
        <v>142</v>
      </c>
      <c r="J1933" s="1142">
        <v>116</v>
      </c>
      <c r="K1933" s="1142">
        <v>77</v>
      </c>
      <c r="L1933" s="1142">
        <v>46</v>
      </c>
      <c r="M1933" s="1142">
        <v>19</v>
      </c>
      <c r="N1933" s="1143">
        <v>12</v>
      </c>
      <c r="O1933" s="1144">
        <v>675</v>
      </c>
      <c r="P1933" s="323"/>
      <c r="Q1933" s="323"/>
      <c r="R1933" s="326"/>
      <c r="S1933" s="326"/>
      <c r="T1933" s="327"/>
      <c r="U1933" s="326"/>
      <c r="V1933" s="328"/>
      <c r="W1933" s="323"/>
      <c r="X1933" s="323"/>
      <c r="Y1933" s="323"/>
    </row>
    <row r="1934" spans="1:25" s="1130" customFormat="1" ht="13.2" hidden="1">
      <c r="A1934" s="1320"/>
      <c r="B1934" s="1140" t="s">
        <v>17</v>
      </c>
      <c r="C1934" s="1141">
        <v>14</v>
      </c>
      <c r="D1934" s="1142">
        <v>28</v>
      </c>
      <c r="E1934" s="1142">
        <v>56</v>
      </c>
      <c r="F1934" s="1142">
        <v>84</v>
      </c>
      <c r="G1934" s="1142">
        <v>124</v>
      </c>
      <c r="H1934" s="1142">
        <v>135</v>
      </c>
      <c r="I1934" s="1142">
        <v>121</v>
      </c>
      <c r="J1934" s="1142">
        <v>100</v>
      </c>
      <c r="K1934" s="1142">
        <v>67</v>
      </c>
      <c r="L1934" s="1142">
        <v>40</v>
      </c>
      <c r="M1934" s="1142">
        <v>17</v>
      </c>
      <c r="N1934" s="1143">
        <v>11</v>
      </c>
      <c r="O1934" s="1144">
        <v>583</v>
      </c>
      <c r="P1934" s="323"/>
      <c r="Q1934" s="323"/>
      <c r="R1934" s="326"/>
      <c r="S1934" s="326"/>
      <c r="T1934" s="327"/>
      <c r="U1934" s="326"/>
      <c r="V1934" s="328"/>
      <c r="W1934" s="323"/>
      <c r="X1934" s="323"/>
      <c r="Y1934" s="323"/>
    </row>
    <row r="1935" spans="1:25" s="1130" customFormat="1" ht="13.2" hidden="1">
      <c r="A1935" s="1321"/>
      <c r="B1935" s="1137" t="s">
        <v>18</v>
      </c>
      <c r="C1935" s="1134">
        <v>11</v>
      </c>
      <c r="D1935" s="1135">
        <v>22</v>
      </c>
      <c r="E1935" s="1135">
        <v>43</v>
      </c>
      <c r="F1935" s="1135">
        <v>62</v>
      </c>
      <c r="G1935" s="1135">
        <v>90</v>
      </c>
      <c r="H1935" s="1135">
        <v>96</v>
      </c>
      <c r="I1935" s="1135">
        <v>88</v>
      </c>
      <c r="J1935" s="1135">
        <v>73</v>
      </c>
      <c r="K1935" s="1135">
        <v>50</v>
      </c>
      <c r="L1935" s="1135">
        <v>32</v>
      </c>
      <c r="M1935" s="1135">
        <v>12</v>
      </c>
      <c r="N1935" s="1136">
        <v>8</v>
      </c>
      <c r="O1935" s="1145">
        <v>429</v>
      </c>
      <c r="P1935" s="323"/>
      <c r="Q1935" s="323"/>
      <c r="R1935" s="326"/>
      <c r="S1935" s="326"/>
      <c r="T1935" s="327"/>
      <c r="U1935" s="326"/>
      <c r="V1935" s="328"/>
      <c r="W1935" s="323"/>
      <c r="X1935" s="323"/>
      <c r="Y1935" s="323"/>
    </row>
    <row r="1936" spans="1:25" s="1130" customFormat="1" ht="13.2" hidden="1">
      <c r="A1936" s="1319" t="s">
        <v>3362</v>
      </c>
      <c r="B1936" s="1140" t="s">
        <v>15</v>
      </c>
      <c r="C1936" s="1141">
        <v>19</v>
      </c>
      <c r="D1936" s="1142">
        <v>41</v>
      </c>
      <c r="E1936" s="1142">
        <v>84</v>
      </c>
      <c r="F1936" s="1142">
        <v>126</v>
      </c>
      <c r="G1936" s="1142">
        <v>186</v>
      </c>
      <c r="H1936" s="1142">
        <v>185</v>
      </c>
      <c r="I1936" s="1142">
        <v>176</v>
      </c>
      <c r="J1936" s="1142">
        <v>143</v>
      </c>
      <c r="K1936" s="1142">
        <v>100</v>
      </c>
      <c r="L1936" s="1142">
        <v>60</v>
      </c>
      <c r="M1936" s="1142">
        <v>21</v>
      </c>
      <c r="N1936" s="1143">
        <v>14</v>
      </c>
      <c r="O1936" s="1144">
        <v>846</v>
      </c>
      <c r="P1936" s="323"/>
      <c r="Q1936" s="323"/>
      <c r="R1936" s="326"/>
      <c r="S1936" s="326"/>
      <c r="T1936" s="327"/>
      <c r="U1936" s="326"/>
      <c r="V1936" s="328"/>
      <c r="W1936" s="323"/>
      <c r="X1936" s="323"/>
      <c r="Y1936" s="323"/>
    </row>
    <row r="1937" spans="1:25" s="1130" customFormat="1" ht="13.2" hidden="1">
      <c r="A1937" s="1320"/>
      <c r="B1937" s="1140" t="s">
        <v>16</v>
      </c>
      <c r="C1937" s="1141">
        <v>17</v>
      </c>
      <c r="D1937" s="1142">
        <v>35</v>
      </c>
      <c r="E1937" s="1142">
        <v>74</v>
      </c>
      <c r="F1937" s="1142">
        <v>112</v>
      </c>
      <c r="G1937" s="1142">
        <v>166</v>
      </c>
      <c r="H1937" s="1142">
        <v>164</v>
      </c>
      <c r="I1937" s="1142">
        <v>158</v>
      </c>
      <c r="J1937" s="1142">
        <v>127</v>
      </c>
      <c r="K1937" s="1142">
        <v>88</v>
      </c>
      <c r="L1937" s="1142">
        <v>52</v>
      </c>
      <c r="M1937" s="1142">
        <v>19</v>
      </c>
      <c r="N1937" s="1143">
        <v>12</v>
      </c>
      <c r="O1937" s="1144">
        <v>751</v>
      </c>
      <c r="P1937" s="323"/>
      <c r="Q1937" s="323"/>
      <c r="R1937" s="326"/>
      <c r="S1937" s="326"/>
      <c r="T1937" s="327"/>
      <c r="U1937" s="326"/>
      <c r="V1937" s="328"/>
      <c r="W1937" s="323"/>
      <c r="X1937" s="323"/>
      <c r="Y1937" s="323"/>
    </row>
    <row r="1938" spans="1:25" s="1130" customFormat="1" ht="13.2" hidden="1">
      <c r="A1938" s="1320"/>
      <c r="B1938" s="1140" t="s">
        <v>17</v>
      </c>
      <c r="C1938" s="1141">
        <v>15</v>
      </c>
      <c r="D1938" s="1142">
        <v>32</v>
      </c>
      <c r="E1938" s="1142">
        <v>66</v>
      </c>
      <c r="F1938" s="1142">
        <v>99</v>
      </c>
      <c r="G1938" s="1142">
        <v>147</v>
      </c>
      <c r="H1938" s="1142">
        <v>142</v>
      </c>
      <c r="I1938" s="1142">
        <v>139</v>
      </c>
      <c r="J1938" s="1142">
        <v>112</v>
      </c>
      <c r="K1938" s="1142">
        <v>78</v>
      </c>
      <c r="L1938" s="1142">
        <v>46</v>
      </c>
      <c r="M1938" s="1142">
        <v>17</v>
      </c>
      <c r="N1938" s="1143">
        <v>11</v>
      </c>
      <c r="O1938" s="1144">
        <v>662</v>
      </c>
      <c r="P1938" s="323"/>
      <c r="Q1938" s="323"/>
      <c r="R1938" s="326"/>
      <c r="S1938" s="326"/>
      <c r="T1938" s="327"/>
      <c r="U1938" s="326"/>
      <c r="V1938" s="328"/>
      <c r="W1938" s="323"/>
      <c r="X1938" s="323"/>
      <c r="Y1938" s="323"/>
    </row>
    <row r="1939" spans="1:25" s="1130" customFormat="1" ht="13.2" hidden="1">
      <c r="A1939" s="1321"/>
      <c r="B1939" s="1137" t="s">
        <v>18</v>
      </c>
      <c r="C1939" s="1134">
        <v>12</v>
      </c>
      <c r="D1939" s="1135">
        <v>25</v>
      </c>
      <c r="E1939" s="1135">
        <v>51</v>
      </c>
      <c r="F1939" s="1135">
        <v>76</v>
      </c>
      <c r="G1939" s="1135">
        <v>110</v>
      </c>
      <c r="H1939" s="1135">
        <v>105</v>
      </c>
      <c r="I1939" s="1135">
        <v>103</v>
      </c>
      <c r="J1939" s="1135">
        <v>83</v>
      </c>
      <c r="K1939" s="1135">
        <v>59</v>
      </c>
      <c r="L1939" s="1135">
        <v>36</v>
      </c>
      <c r="M1939" s="1135">
        <v>12</v>
      </c>
      <c r="N1939" s="1136">
        <v>8</v>
      </c>
      <c r="O1939" s="1145">
        <v>498</v>
      </c>
      <c r="P1939" s="323"/>
      <c r="Q1939" s="323"/>
      <c r="R1939" s="326"/>
      <c r="S1939" s="326"/>
      <c r="T1939" s="327"/>
      <c r="U1939" s="326"/>
      <c r="V1939" s="328"/>
      <c r="W1939" s="323"/>
      <c r="X1939" s="323"/>
      <c r="Y1939" s="323"/>
    </row>
    <row r="1940" spans="1:25" s="1130" customFormat="1" ht="13.2" hidden="1">
      <c r="A1940" s="1319" t="s">
        <v>12</v>
      </c>
      <c r="B1940" s="1140" t="s">
        <v>15</v>
      </c>
      <c r="C1940" s="1141">
        <v>17</v>
      </c>
      <c r="D1940" s="1142">
        <v>32</v>
      </c>
      <c r="E1940" s="1142">
        <v>68</v>
      </c>
      <c r="F1940" s="1142">
        <v>111</v>
      </c>
      <c r="G1940" s="1142">
        <v>171</v>
      </c>
      <c r="H1940" s="1142">
        <v>178</v>
      </c>
      <c r="I1940" s="1142">
        <v>166</v>
      </c>
      <c r="J1940" s="1142">
        <v>132</v>
      </c>
      <c r="K1940" s="1142">
        <v>85</v>
      </c>
      <c r="L1940" s="1142">
        <v>46</v>
      </c>
      <c r="M1940" s="1142">
        <v>21</v>
      </c>
      <c r="N1940" s="1143">
        <v>13</v>
      </c>
      <c r="O1940" s="1144">
        <v>762</v>
      </c>
      <c r="P1940" s="323"/>
      <c r="Q1940" s="323"/>
      <c r="R1940" s="326"/>
      <c r="S1940" s="326"/>
      <c r="T1940" s="327"/>
      <c r="U1940" s="326"/>
      <c r="V1940" s="328"/>
      <c r="W1940" s="323"/>
      <c r="X1940" s="323"/>
      <c r="Y1940" s="323"/>
    </row>
    <row r="1941" spans="1:25" s="1130" customFormat="1" ht="13.2" hidden="1">
      <c r="A1941" s="1320"/>
      <c r="B1941" s="1140" t="s">
        <v>16</v>
      </c>
      <c r="C1941" s="1141">
        <v>16</v>
      </c>
      <c r="D1941" s="1142">
        <v>29</v>
      </c>
      <c r="E1941" s="1142">
        <v>55</v>
      </c>
      <c r="F1941" s="1142">
        <v>89</v>
      </c>
      <c r="G1941" s="1142">
        <v>143</v>
      </c>
      <c r="H1941" s="1142">
        <v>152</v>
      </c>
      <c r="I1941" s="1142">
        <v>142</v>
      </c>
      <c r="J1941" s="1142">
        <v>109</v>
      </c>
      <c r="K1941" s="1142">
        <v>68</v>
      </c>
      <c r="L1941" s="1142">
        <v>41</v>
      </c>
      <c r="M1941" s="1142">
        <v>19</v>
      </c>
      <c r="N1941" s="1143">
        <v>12</v>
      </c>
      <c r="O1941" s="1144">
        <v>641</v>
      </c>
      <c r="P1941" s="323"/>
      <c r="Q1941" s="323"/>
      <c r="R1941" s="326"/>
      <c r="S1941" s="326"/>
      <c r="T1941" s="327"/>
      <c r="U1941" s="326"/>
      <c r="V1941" s="328"/>
      <c r="W1941" s="323"/>
      <c r="X1941" s="323"/>
      <c r="Y1941" s="323"/>
    </row>
    <row r="1942" spans="1:25" s="1130" customFormat="1" ht="13.2" hidden="1">
      <c r="A1942" s="1320"/>
      <c r="B1942" s="1140" t="s">
        <v>17</v>
      </c>
      <c r="C1942" s="1141">
        <v>14</v>
      </c>
      <c r="D1942" s="1142">
        <v>26</v>
      </c>
      <c r="E1942" s="1142">
        <v>49</v>
      </c>
      <c r="F1942" s="1142">
        <v>75</v>
      </c>
      <c r="G1942" s="1142">
        <v>114</v>
      </c>
      <c r="H1942" s="1142">
        <v>123</v>
      </c>
      <c r="I1942" s="1142">
        <v>115</v>
      </c>
      <c r="J1942" s="1142">
        <v>89</v>
      </c>
      <c r="K1942" s="1142">
        <v>60</v>
      </c>
      <c r="L1942" s="1142">
        <v>37</v>
      </c>
      <c r="M1942" s="1142">
        <v>16</v>
      </c>
      <c r="N1942" s="1143">
        <v>11</v>
      </c>
      <c r="O1942" s="1144">
        <v>535</v>
      </c>
      <c r="P1942" s="323"/>
      <c r="Q1942" s="323"/>
      <c r="R1942" s="326"/>
      <c r="S1942" s="326"/>
      <c r="T1942" s="327"/>
      <c r="U1942" s="326"/>
      <c r="V1942" s="328"/>
      <c r="W1942" s="323"/>
      <c r="X1942" s="323"/>
      <c r="Y1942" s="323"/>
    </row>
    <row r="1943" spans="1:25" s="1130" customFormat="1" ht="13.2" hidden="1">
      <c r="A1943" s="1321"/>
      <c r="B1943" s="1137" t="s">
        <v>18</v>
      </c>
      <c r="C1943" s="1134">
        <v>11</v>
      </c>
      <c r="D1943" s="1135">
        <v>22</v>
      </c>
      <c r="E1943" s="1135">
        <v>39</v>
      </c>
      <c r="F1943" s="1135">
        <v>57</v>
      </c>
      <c r="G1943" s="1135">
        <v>84</v>
      </c>
      <c r="H1943" s="1135">
        <v>88</v>
      </c>
      <c r="I1943" s="1135">
        <v>83</v>
      </c>
      <c r="J1943" s="1135">
        <v>67</v>
      </c>
      <c r="K1943" s="1135">
        <v>47</v>
      </c>
      <c r="L1943" s="1135">
        <v>30</v>
      </c>
      <c r="M1943" s="1135">
        <v>12</v>
      </c>
      <c r="N1943" s="1136">
        <v>8</v>
      </c>
      <c r="O1943" s="1145">
        <v>401</v>
      </c>
      <c r="P1943" s="323"/>
      <c r="Q1943" s="323"/>
      <c r="R1943" s="326"/>
      <c r="S1943" s="326"/>
      <c r="T1943" s="327"/>
      <c r="U1943" s="326"/>
      <c r="V1943" s="328"/>
      <c r="W1943" s="323"/>
      <c r="X1943" s="323"/>
      <c r="Y1943" s="323"/>
    </row>
    <row r="1944" spans="1:25" s="1130" customFormat="1" ht="39.6" hidden="1">
      <c r="A1944" s="1146"/>
      <c r="B1944" s="1147"/>
      <c r="C1944" s="1375" t="s">
        <v>3363</v>
      </c>
      <c r="D1944" s="1376"/>
      <c r="E1944" s="1376"/>
      <c r="F1944" s="1376"/>
      <c r="G1944" s="1376"/>
      <c r="H1944" s="1376"/>
      <c r="I1944" s="1376"/>
      <c r="J1944" s="1376"/>
      <c r="K1944" s="1376"/>
      <c r="L1944" s="1376"/>
      <c r="M1944" s="1376"/>
      <c r="N1944" s="1377"/>
      <c r="O1944" s="1131" t="s">
        <v>3364</v>
      </c>
      <c r="P1944" s="323"/>
      <c r="Q1944" s="323"/>
      <c r="R1944" s="326"/>
      <c r="S1944" s="326"/>
      <c r="T1944" s="327"/>
      <c r="U1944" s="326"/>
      <c r="V1944" s="328"/>
      <c r="W1944" s="323"/>
      <c r="X1944" s="323"/>
      <c r="Y1944" s="323"/>
    </row>
    <row r="1945" spans="1:25" s="1130" customFormat="1" ht="12.75" hidden="1" customHeight="1">
      <c r="A1945" s="1148" t="s">
        <v>1894</v>
      </c>
      <c r="B1945" s="1149"/>
      <c r="C1945" s="1150">
        <v>-0.8</v>
      </c>
      <c r="D1945" s="1151">
        <v>-0.3</v>
      </c>
      <c r="E1945" s="1151">
        <v>2.1</v>
      </c>
      <c r="F1945" s="1151">
        <v>5.7</v>
      </c>
      <c r="G1945" s="1151">
        <v>10.5</v>
      </c>
      <c r="H1945" s="1151">
        <v>12.9</v>
      </c>
      <c r="I1945" s="1151">
        <v>15</v>
      </c>
      <c r="J1945" s="1151">
        <v>15</v>
      </c>
      <c r="K1945" s="1151">
        <v>11.1</v>
      </c>
      <c r="L1945" s="1151">
        <v>7.1</v>
      </c>
      <c r="M1945" s="1151">
        <v>2.2999999999999998</v>
      </c>
      <c r="N1945" s="1152">
        <v>-0.2</v>
      </c>
      <c r="O1945" s="1153">
        <v>6.7</v>
      </c>
      <c r="P1945" s="323"/>
      <c r="Q1945" s="323"/>
      <c r="R1945" s="326"/>
      <c r="S1945" s="326"/>
      <c r="T1945" s="327"/>
      <c r="U1945" s="326"/>
      <c r="V1945" s="328"/>
      <c r="W1945" s="323"/>
      <c r="X1945" s="323"/>
      <c r="Y1945" s="323"/>
    </row>
    <row r="1946" spans="1:25" s="1130" customFormat="1" ht="13.2" hidden="1">
      <c r="P1946" s="1155"/>
      <c r="Q1946" s="1129"/>
    </row>
    <row r="1947" spans="1:25" s="1130" customFormat="1" ht="13.2" hidden="1">
      <c r="P1947" s="1155"/>
      <c r="Q1947" s="1129"/>
    </row>
    <row r="1948" spans="1:25" s="1130" customFormat="1" ht="13.2" hidden="1">
      <c r="A1948" s="1129" t="s">
        <v>3379</v>
      </c>
      <c r="Q1948" s="1129"/>
    </row>
    <row r="1949" spans="1:25" s="1130" customFormat="1" ht="13.2" hidden="1">
      <c r="Q1949" s="1129"/>
    </row>
    <row r="1950" spans="1:25" s="1130" customFormat="1" ht="66" hidden="1">
      <c r="A1950" s="1314" t="s">
        <v>3380</v>
      </c>
      <c r="B1950" s="1315"/>
      <c r="C1950" s="1316" t="s">
        <v>3355</v>
      </c>
      <c r="D1950" s="1317"/>
      <c r="E1950" s="1317"/>
      <c r="F1950" s="1317"/>
      <c r="G1950" s="1317"/>
      <c r="H1950" s="1317"/>
      <c r="I1950" s="1317"/>
      <c r="J1950" s="1317"/>
      <c r="K1950" s="1317"/>
      <c r="L1950" s="1317"/>
      <c r="M1950" s="1317"/>
      <c r="N1950" s="1318"/>
      <c r="O1950" s="1131" t="s">
        <v>3356</v>
      </c>
      <c r="P1950" s="323"/>
      <c r="Q1950" s="1156">
        <v>9</v>
      </c>
      <c r="R1950" s="326"/>
      <c r="S1950" s="326"/>
      <c r="T1950" s="327"/>
      <c r="U1950" s="326"/>
      <c r="V1950" s="328"/>
      <c r="W1950" s="323"/>
      <c r="X1950" s="323"/>
      <c r="Y1950" s="323"/>
    </row>
    <row r="1951" spans="1:25" s="1130" customFormat="1" ht="13.2" hidden="1">
      <c r="A1951" s="1132" t="s">
        <v>77</v>
      </c>
      <c r="B1951" s="1133" t="s">
        <v>1795</v>
      </c>
      <c r="C1951" s="1134" t="s">
        <v>116</v>
      </c>
      <c r="D1951" s="1135" t="s">
        <v>117</v>
      </c>
      <c r="E1951" s="1135" t="s">
        <v>118</v>
      </c>
      <c r="F1951" s="1135" t="s">
        <v>119</v>
      </c>
      <c r="G1951" s="1135" t="s">
        <v>120</v>
      </c>
      <c r="H1951" s="1135" t="s">
        <v>121</v>
      </c>
      <c r="I1951" s="1135" t="s">
        <v>122</v>
      </c>
      <c r="J1951" s="1135" t="s">
        <v>123</v>
      </c>
      <c r="K1951" s="1135" t="s">
        <v>124</v>
      </c>
      <c r="L1951" s="1135" t="s">
        <v>125</v>
      </c>
      <c r="M1951" s="1135" t="s">
        <v>126</v>
      </c>
      <c r="N1951" s="1136" t="s">
        <v>127</v>
      </c>
      <c r="O1951" s="1137" t="s">
        <v>3357</v>
      </c>
      <c r="P1951" s="323"/>
      <c r="Q1951" s="323"/>
      <c r="R1951" s="326"/>
      <c r="S1951" s="326"/>
      <c r="T1951" s="327"/>
      <c r="U1951" s="326"/>
      <c r="V1951" s="328"/>
      <c r="W1951" s="323"/>
      <c r="X1951" s="323"/>
      <c r="Y1951" s="323"/>
    </row>
    <row r="1952" spans="1:25" s="1130" customFormat="1" ht="13.2" hidden="1">
      <c r="A1952" s="1138" t="s">
        <v>3358</v>
      </c>
      <c r="B1952" s="1137" t="s">
        <v>14</v>
      </c>
      <c r="C1952" s="1134">
        <v>36</v>
      </c>
      <c r="D1952" s="1135">
        <v>62</v>
      </c>
      <c r="E1952" s="1135">
        <v>72</v>
      </c>
      <c r="F1952" s="1135">
        <v>141</v>
      </c>
      <c r="G1952" s="1135">
        <v>196</v>
      </c>
      <c r="H1952" s="1135">
        <v>213</v>
      </c>
      <c r="I1952" s="1135">
        <v>239</v>
      </c>
      <c r="J1952" s="1135">
        <v>198</v>
      </c>
      <c r="K1952" s="1135">
        <v>128</v>
      </c>
      <c r="L1952" s="1135">
        <v>88</v>
      </c>
      <c r="M1952" s="1135">
        <v>38</v>
      </c>
      <c r="N1952" s="1136">
        <v>28</v>
      </c>
      <c r="O1952" s="1139">
        <v>1055</v>
      </c>
      <c r="P1952" s="323"/>
      <c r="Q1952" s="323"/>
      <c r="R1952" s="326"/>
      <c r="S1952" s="326"/>
      <c r="T1952" s="327"/>
      <c r="U1952" s="326"/>
      <c r="V1952" s="328"/>
      <c r="W1952" s="323"/>
      <c r="X1952" s="323"/>
      <c r="Y1952" s="323"/>
    </row>
    <row r="1953" spans="1:25" s="1130" customFormat="1" ht="13.2" hidden="1">
      <c r="A1953" s="1319" t="s">
        <v>11</v>
      </c>
      <c r="B1953" s="1140" t="s">
        <v>15</v>
      </c>
      <c r="C1953" s="1141">
        <v>63</v>
      </c>
      <c r="D1953" s="1142">
        <v>86</v>
      </c>
      <c r="E1953" s="1142">
        <v>79</v>
      </c>
      <c r="F1953" s="1142">
        <v>151</v>
      </c>
      <c r="G1953" s="1142">
        <v>201</v>
      </c>
      <c r="H1953" s="1142">
        <v>207</v>
      </c>
      <c r="I1953" s="1142">
        <v>241</v>
      </c>
      <c r="J1953" s="1142">
        <v>214</v>
      </c>
      <c r="K1953" s="1142">
        <v>154</v>
      </c>
      <c r="L1953" s="1142">
        <v>126</v>
      </c>
      <c r="M1953" s="1142">
        <v>61</v>
      </c>
      <c r="N1953" s="1143">
        <v>52</v>
      </c>
      <c r="O1953" s="1144">
        <v>1197</v>
      </c>
      <c r="P1953" s="323"/>
      <c r="Q1953" s="323"/>
      <c r="R1953" s="326"/>
      <c r="S1953" s="326"/>
      <c r="T1953" s="327"/>
      <c r="U1953" s="326"/>
      <c r="V1953" s="328"/>
      <c r="W1953" s="323"/>
      <c r="X1953" s="323"/>
      <c r="Y1953" s="323"/>
    </row>
    <row r="1954" spans="1:25" s="1130" customFormat="1" ht="13.2" hidden="1">
      <c r="A1954" s="1320"/>
      <c r="B1954" s="1140" t="s">
        <v>16</v>
      </c>
      <c r="C1954" s="1141">
        <v>72</v>
      </c>
      <c r="D1954" s="1142">
        <v>92</v>
      </c>
      <c r="E1954" s="1142">
        <v>78</v>
      </c>
      <c r="F1954" s="1142">
        <v>146</v>
      </c>
      <c r="G1954" s="1142">
        <v>190</v>
      </c>
      <c r="H1954" s="1142">
        <v>190</v>
      </c>
      <c r="I1954" s="1142">
        <v>225</v>
      </c>
      <c r="J1954" s="1142">
        <v>206</v>
      </c>
      <c r="K1954" s="1142">
        <v>155</v>
      </c>
      <c r="L1954" s="1142">
        <v>136</v>
      </c>
      <c r="M1954" s="1142">
        <v>67</v>
      </c>
      <c r="N1954" s="1143">
        <v>60</v>
      </c>
      <c r="O1954" s="1144">
        <v>1183</v>
      </c>
      <c r="P1954" s="323"/>
      <c r="Q1954" s="323"/>
      <c r="R1954" s="326"/>
      <c r="S1954" s="326"/>
      <c r="T1954" s="327"/>
      <c r="U1954" s="326"/>
      <c r="V1954" s="328"/>
      <c r="W1954" s="323"/>
      <c r="X1954" s="323"/>
      <c r="Y1954" s="323"/>
    </row>
    <row r="1955" spans="1:25" s="1130" customFormat="1" ht="13.2" hidden="1">
      <c r="A1955" s="1320"/>
      <c r="B1955" s="1140" t="s">
        <v>17</v>
      </c>
      <c r="C1955" s="1141">
        <v>77</v>
      </c>
      <c r="D1955" s="1142">
        <v>94</v>
      </c>
      <c r="E1955" s="1142">
        <v>73</v>
      </c>
      <c r="F1955" s="1142">
        <v>135</v>
      </c>
      <c r="G1955" s="1142">
        <v>170</v>
      </c>
      <c r="H1955" s="1142">
        <v>167</v>
      </c>
      <c r="I1955" s="1142">
        <v>198</v>
      </c>
      <c r="J1955" s="1142">
        <v>188</v>
      </c>
      <c r="K1955" s="1142">
        <v>149</v>
      </c>
      <c r="L1955" s="1142">
        <v>137</v>
      </c>
      <c r="M1955" s="1142">
        <v>70</v>
      </c>
      <c r="N1955" s="1143">
        <v>65</v>
      </c>
      <c r="O1955" s="1144">
        <v>1114</v>
      </c>
      <c r="P1955" s="323"/>
      <c r="Q1955" s="323"/>
      <c r="R1955" s="326"/>
      <c r="S1955" s="326"/>
      <c r="T1955" s="327"/>
      <c r="U1955" s="326"/>
      <c r="V1955" s="328"/>
      <c r="W1955" s="323"/>
      <c r="X1955" s="323"/>
      <c r="Y1955" s="323"/>
    </row>
    <row r="1956" spans="1:25" s="1130" customFormat="1" ht="13.2" hidden="1">
      <c r="A1956" s="1321"/>
      <c r="B1956" s="1137" t="s">
        <v>18</v>
      </c>
      <c r="C1956" s="1134">
        <v>74</v>
      </c>
      <c r="D1956" s="1135">
        <v>83</v>
      </c>
      <c r="E1956" s="1135">
        <v>57</v>
      </c>
      <c r="F1956" s="1135">
        <v>97</v>
      </c>
      <c r="G1956" s="1135">
        <v>113</v>
      </c>
      <c r="H1956" s="1135">
        <v>106</v>
      </c>
      <c r="I1956" s="1135">
        <v>126</v>
      </c>
      <c r="J1956" s="1135">
        <v>130</v>
      </c>
      <c r="K1956" s="1135">
        <v>115</v>
      </c>
      <c r="L1956" s="1135">
        <v>119</v>
      </c>
      <c r="M1956" s="1135">
        <v>64</v>
      </c>
      <c r="N1956" s="1136">
        <v>64</v>
      </c>
      <c r="O1956" s="1145">
        <v>839</v>
      </c>
      <c r="P1956" s="323"/>
      <c r="Q1956" s="323"/>
      <c r="R1956" s="326"/>
      <c r="S1956" s="326"/>
      <c r="T1956" s="327"/>
      <c r="U1956" s="326"/>
      <c r="V1956" s="328"/>
      <c r="W1956" s="323"/>
      <c r="X1956" s="323"/>
      <c r="Y1956" s="323"/>
    </row>
    <row r="1957" spans="1:25" s="1130" customFormat="1" ht="13.2" hidden="1">
      <c r="A1957" s="1319" t="s">
        <v>3359</v>
      </c>
      <c r="B1957" s="1140" t="s">
        <v>15</v>
      </c>
      <c r="C1957" s="1141">
        <v>58</v>
      </c>
      <c r="D1957" s="1142">
        <v>80</v>
      </c>
      <c r="E1957" s="1142">
        <v>78</v>
      </c>
      <c r="F1957" s="1142">
        <v>151</v>
      </c>
      <c r="G1957" s="1142">
        <v>201</v>
      </c>
      <c r="H1957" s="1142">
        <v>210</v>
      </c>
      <c r="I1957" s="1142">
        <v>245</v>
      </c>
      <c r="J1957" s="1142">
        <v>210</v>
      </c>
      <c r="K1957" s="1142">
        <v>148</v>
      </c>
      <c r="L1957" s="1142">
        <v>113</v>
      </c>
      <c r="M1957" s="1142">
        <v>53</v>
      </c>
      <c r="N1957" s="1143">
        <v>46</v>
      </c>
      <c r="O1957" s="1144">
        <v>1165</v>
      </c>
      <c r="P1957" s="323"/>
      <c r="Q1957" s="323"/>
      <c r="R1957" s="326"/>
      <c r="S1957" s="326"/>
      <c r="T1957" s="327"/>
      <c r="U1957" s="326"/>
      <c r="V1957" s="328"/>
      <c r="W1957" s="323"/>
      <c r="X1957" s="323"/>
      <c r="Y1957" s="323"/>
    </row>
    <row r="1958" spans="1:25" s="1130" customFormat="1" ht="13.2" hidden="1">
      <c r="A1958" s="1320"/>
      <c r="B1958" s="1140" t="s">
        <v>16</v>
      </c>
      <c r="C1958" s="1141">
        <v>64</v>
      </c>
      <c r="D1958" s="1142">
        <v>84</v>
      </c>
      <c r="E1958" s="1142">
        <v>76</v>
      </c>
      <c r="F1958" s="1142">
        <v>146</v>
      </c>
      <c r="G1958" s="1142">
        <v>191</v>
      </c>
      <c r="H1958" s="1142">
        <v>197</v>
      </c>
      <c r="I1958" s="1142">
        <v>232</v>
      </c>
      <c r="J1958" s="1142">
        <v>203</v>
      </c>
      <c r="K1958" s="1142">
        <v>147</v>
      </c>
      <c r="L1958" s="1142">
        <v>117</v>
      </c>
      <c r="M1958" s="1142">
        <v>56</v>
      </c>
      <c r="N1958" s="1143">
        <v>51</v>
      </c>
      <c r="O1958" s="1144">
        <v>1145</v>
      </c>
      <c r="P1958" s="323"/>
      <c r="Q1958" s="323"/>
      <c r="R1958" s="326"/>
      <c r="S1958" s="326"/>
      <c r="T1958" s="327"/>
      <c r="U1958" s="326"/>
      <c r="V1958" s="328"/>
      <c r="W1958" s="323"/>
      <c r="X1958" s="323"/>
      <c r="Y1958" s="323"/>
    </row>
    <row r="1959" spans="1:25" s="1130" customFormat="1" ht="13.2" hidden="1">
      <c r="A1959" s="1320"/>
      <c r="B1959" s="1140" t="s">
        <v>17</v>
      </c>
      <c r="C1959" s="1141">
        <v>68</v>
      </c>
      <c r="D1959" s="1142">
        <v>84</v>
      </c>
      <c r="E1959" s="1142">
        <v>71</v>
      </c>
      <c r="F1959" s="1142">
        <v>136</v>
      </c>
      <c r="G1959" s="1142">
        <v>175</v>
      </c>
      <c r="H1959" s="1142">
        <v>177</v>
      </c>
      <c r="I1959" s="1142">
        <v>211</v>
      </c>
      <c r="J1959" s="1142">
        <v>188</v>
      </c>
      <c r="K1959" s="1142">
        <v>140</v>
      </c>
      <c r="L1959" s="1142">
        <v>115</v>
      </c>
      <c r="M1959" s="1142">
        <v>57</v>
      </c>
      <c r="N1959" s="1143">
        <v>53</v>
      </c>
      <c r="O1959" s="1144">
        <v>1079</v>
      </c>
      <c r="P1959" s="323"/>
      <c r="Q1959" s="323"/>
      <c r="R1959" s="326"/>
      <c r="S1959" s="326"/>
      <c r="T1959" s="327"/>
      <c r="U1959" s="326"/>
      <c r="V1959" s="328"/>
      <c r="W1959" s="323"/>
      <c r="X1959" s="323"/>
      <c r="Y1959" s="323"/>
    </row>
    <row r="1960" spans="1:25" s="1130" customFormat="1" ht="13.2" hidden="1">
      <c r="A1960" s="1321"/>
      <c r="B1960" s="1137" t="s">
        <v>18</v>
      </c>
      <c r="C1960" s="1134">
        <v>63</v>
      </c>
      <c r="D1960" s="1135">
        <v>72</v>
      </c>
      <c r="E1960" s="1135">
        <v>55</v>
      </c>
      <c r="F1960" s="1135">
        <v>102</v>
      </c>
      <c r="G1960" s="1135">
        <v>126</v>
      </c>
      <c r="H1960" s="1135">
        <v>124</v>
      </c>
      <c r="I1960" s="1135">
        <v>150</v>
      </c>
      <c r="J1960" s="1135">
        <v>139</v>
      </c>
      <c r="K1960" s="1135">
        <v>110</v>
      </c>
      <c r="L1960" s="1135">
        <v>96</v>
      </c>
      <c r="M1960" s="1135">
        <v>50</v>
      </c>
      <c r="N1960" s="1136">
        <v>50</v>
      </c>
      <c r="O1960" s="1145">
        <v>831</v>
      </c>
      <c r="P1960" s="323"/>
      <c r="Q1960" s="323"/>
      <c r="R1960" s="326"/>
      <c r="S1960" s="326"/>
      <c r="T1960" s="327"/>
      <c r="U1960" s="326"/>
      <c r="V1960" s="328"/>
      <c r="W1960" s="323"/>
      <c r="X1960" s="323"/>
      <c r="Y1960" s="323"/>
    </row>
    <row r="1961" spans="1:25" s="1130" customFormat="1" ht="13.2" hidden="1">
      <c r="A1961" s="1319" t="s">
        <v>3360</v>
      </c>
      <c r="B1961" s="1140" t="s">
        <v>15</v>
      </c>
      <c r="C1961" s="1141">
        <v>51</v>
      </c>
      <c r="D1961" s="1142">
        <v>75</v>
      </c>
      <c r="E1961" s="1142">
        <v>73</v>
      </c>
      <c r="F1961" s="1142">
        <v>141</v>
      </c>
      <c r="G1961" s="1142">
        <v>195</v>
      </c>
      <c r="H1961" s="1142">
        <v>201</v>
      </c>
      <c r="I1961" s="1142">
        <v>230</v>
      </c>
      <c r="J1961" s="1142">
        <v>203</v>
      </c>
      <c r="K1961" s="1142">
        <v>141</v>
      </c>
      <c r="L1961" s="1142">
        <v>115</v>
      </c>
      <c r="M1961" s="1142">
        <v>54</v>
      </c>
      <c r="N1961" s="1143">
        <v>44</v>
      </c>
      <c r="O1961" s="1144">
        <v>1114</v>
      </c>
      <c r="P1961" s="323"/>
      <c r="Q1961" s="323"/>
      <c r="R1961" s="326"/>
      <c r="S1961" s="326"/>
      <c r="T1961" s="327"/>
      <c r="U1961" s="326"/>
      <c r="V1961" s="328"/>
      <c r="W1961" s="323"/>
      <c r="X1961" s="323"/>
      <c r="Y1961" s="323"/>
    </row>
    <row r="1962" spans="1:25" s="1130" customFormat="1" ht="13.2" hidden="1">
      <c r="A1962" s="1320"/>
      <c r="B1962" s="1140" t="s">
        <v>16</v>
      </c>
      <c r="C1962" s="1141">
        <v>55</v>
      </c>
      <c r="D1962" s="1142">
        <v>77</v>
      </c>
      <c r="E1962" s="1142">
        <v>70</v>
      </c>
      <c r="F1962" s="1142">
        <v>133</v>
      </c>
      <c r="G1962" s="1142">
        <v>183</v>
      </c>
      <c r="H1962" s="1142">
        <v>185</v>
      </c>
      <c r="I1962" s="1142">
        <v>213</v>
      </c>
      <c r="J1962" s="1142">
        <v>194</v>
      </c>
      <c r="K1962" s="1142">
        <v>139</v>
      </c>
      <c r="L1962" s="1142">
        <v>120</v>
      </c>
      <c r="M1962" s="1142">
        <v>57</v>
      </c>
      <c r="N1962" s="1143">
        <v>48</v>
      </c>
      <c r="O1962" s="1144">
        <v>1079</v>
      </c>
      <c r="P1962" s="323"/>
      <c r="Q1962" s="323"/>
      <c r="R1962" s="326"/>
      <c r="S1962" s="326"/>
      <c r="T1962" s="327"/>
      <c r="U1962" s="326"/>
      <c r="V1962" s="328"/>
      <c r="W1962" s="323"/>
      <c r="X1962" s="323"/>
      <c r="Y1962" s="323"/>
    </row>
    <row r="1963" spans="1:25" s="1130" customFormat="1" ht="13.2" hidden="1">
      <c r="A1963" s="1320"/>
      <c r="B1963" s="1140" t="s">
        <v>17</v>
      </c>
      <c r="C1963" s="1141">
        <v>56</v>
      </c>
      <c r="D1963" s="1142">
        <v>75</v>
      </c>
      <c r="E1963" s="1142">
        <v>64</v>
      </c>
      <c r="F1963" s="1142">
        <v>121</v>
      </c>
      <c r="G1963" s="1142">
        <v>166</v>
      </c>
      <c r="H1963" s="1142">
        <v>164</v>
      </c>
      <c r="I1963" s="1142">
        <v>190</v>
      </c>
      <c r="J1963" s="1142">
        <v>178</v>
      </c>
      <c r="K1963" s="1142">
        <v>131</v>
      </c>
      <c r="L1963" s="1142">
        <v>118</v>
      </c>
      <c r="M1963" s="1142">
        <v>58</v>
      </c>
      <c r="N1963" s="1143">
        <v>50</v>
      </c>
      <c r="O1963" s="1144">
        <v>1003</v>
      </c>
      <c r="P1963" s="323"/>
      <c r="Q1963" s="323"/>
      <c r="R1963" s="326"/>
      <c r="S1963" s="326"/>
      <c r="T1963" s="327"/>
      <c r="U1963" s="326"/>
      <c r="V1963" s="328"/>
      <c r="W1963" s="323"/>
      <c r="X1963" s="323"/>
      <c r="Y1963" s="323"/>
    </row>
    <row r="1964" spans="1:25" s="1130" customFormat="1" ht="13.2" hidden="1">
      <c r="A1964" s="1321"/>
      <c r="B1964" s="1137" t="s">
        <v>18</v>
      </c>
      <c r="C1964" s="1134">
        <v>50</v>
      </c>
      <c r="D1964" s="1135">
        <v>62</v>
      </c>
      <c r="E1964" s="1135">
        <v>47</v>
      </c>
      <c r="F1964" s="1135">
        <v>88</v>
      </c>
      <c r="G1964" s="1135">
        <v>118</v>
      </c>
      <c r="H1964" s="1135">
        <v>113</v>
      </c>
      <c r="I1964" s="1135">
        <v>132</v>
      </c>
      <c r="J1964" s="1135">
        <v>129</v>
      </c>
      <c r="K1964" s="1135">
        <v>100</v>
      </c>
      <c r="L1964" s="1135">
        <v>99</v>
      </c>
      <c r="M1964" s="1135">
        <v>51</v>
      </c>
      <c r="N1964" s="1136">
        <v>46</v>
      </c>
      <c r="O1964" s="1145">
        <v>758</v>
      </c>
      <c r="P1964" s="323"/>
      <c r="Q1964" s="323"/>
      <c r="R1964" s="326"/>
      <c r="S1964" s="326"/>
      <c r="T1964" s="327"/>
      <c r="U1964" s="326"/>
      <c r="V1964" s="328"/>
      <c r="W1964" s="323"/>
      <c r="X1964" s="323"/>
      <c r="Y1964" s="323"/>
    </row>
    <row r="1965" spans="1:25" s="1130" customFormat="1" ht="13.2" hidden="1">
      <c r="A1965" s="1319" t="s">
        <v>980</v>
      </c>
      <c r="B1965" s="1140" t="s">
        <v>15</v>
      </c>
      <c r="C1965" s="1141">
        <v>39</v>
      </c>
      <c r="D1965" s="1142">
        <v>62</v>
      </c>
      <c r="E1965" s="1142">
        <v>70</v>
      </c>
      <c r="F1965" s="1142">
        <v>138</v>
      </c>
      <c r="G1965" s="1142">
        <v>189</v>
      </c>
      <c r="H1965" s="1142">
        <v>205</v>
      </c>
      <c r="I1965" s="1142">
        <v>233</v>
      </c>
      <c r="J1965" s="1142">
        <v>191</v>
      </c>
      <c r="K1965" s="1142">
        <v>125</v>
      </c>
      <c r="L1965" s="1142">
        <v>84</v>
      </c>
      <c r="M1965" s="1142">
        <v>37</v>
      </c>
      <c r="N1965" s="1143">
        <v>29</v>
      </c>
      <c r="O1965" s="1144">
        <v>1026</v>
      </c>
      <c r="P1965" s="323"/>
      <c r="Q1965" s="323"/>
      <c r="R1965" s="326"/>
      <c r="S1965" s="326"/>
      <c r="T1965" s="327"/>
      <c r="U1965" s="326"/>
      <c r="V1965" s="328"/>
      <c r="W1965" s="323"/>
      <c r="X1965" s="323"/>
      <c r="Y1965" s="323"/>
    </row>
    <row r="1966" spans="1:25" s="1130" customFormat="1" ht="13.2" hidden="1">
      <c r="A1966" s="1320"/>
      <c r="B1966" s="1140" t="s">
        <v>16</v>
      </c>
      <c r="C1966" s="1141">
        <v>39</v>
      </c>
      <c r="D1966" s="1142">
        <v>60</v>
      </c>
      <c r="E1966" s="1142">
        <v>66</v>
      </c>
      <c r="F1966" s="1142">
        <v>130</v>
      </c>
      <c r="G1966" s="1142">
        <v>177</v>
      </c>
      <c r="H1966" s="1142">
        <v>192</v>
      </c>
      <c r="I1966" s="1142">
        <v>219</v>
      </c>
      <c r="J1966" s="1142">
        <v>180</v>
      </c>
      <c r="K1966" s="1142">
        <v>119</v>
      </c>
      <c r="L1966" s="1142">
        <v>80</v>
      </c>
      <c r="M1966" s="1142">
        <v>35</v>
      </c>
      <c r="N1966" s="1143">
        <v>28</v>
      </c>
      <c r="O1966" s="1144">
        <v>970</v>
      </c>
      <c r="P1966" s="323"/>
      <c r="Q1966" s="323"/>
      <c r="R1966" s="326"/>
      <c r="S1966" s="326"/>
      <c r="T1966" s="327"/>
      <c r="U1966" s="326"/>
      <c r="V1966" s="328"/>
      <c r="W1966" s="323"/>
      <c r="X1966" s="323"/>
      <c r="Y1966" s="323"/>
    </row>
    <row r="1967" spans="1:25" s="1130" customFormat="1" ht="13.2" hidden="1">
      <c r="A1967" s="1320"/>
      <c r="B1967" s="1140" t="s">
        <v>17</v>
      </c>
      <c r="C1967" s="1141">
        <v>38</v>
      </c>
      <c r="D1967" s="1142">
        <v>56</v>
      </c>
      <c r="E1967" s="1142">
        <v>59</v>
      </c>
      <c r="F1967" s="1142">
        <v>119</v>
      </c>
      <c r="G1967" s="1142">
        <v>162</v>
      </c>
      <c r="H1967" s="1142">
        <v>174</v>
      </c>
      <c r="I1967" s="1142">
        <v>201</v>
      </c>
      <c r="J1967" s="1142">
        <v>166</v>
      </c>
      <c r="K1967" s="1142">
        <v>110</v>
      </c>
      <c r="L1967" s="1142">
        <v>74</v>
      </c>
      <c r="M1967" s="1142">
        <v>33</v>
      </c>
      <c r="N1967" s="1143">
        <v>27</v>
      </c>
      <c r="O1967" s="1144">
        <v>893</v>
      </c>
      <c r="P1967" s="323"/>
      <c r="Q1967" s="323"/>
      <c r="R1967" s="326"/>
      <c r="S1967" s="326"/>
      <c r="T1967" s="327"/>
      <c r="U1967" s="326"/>
      <c r="V1967" s="328"/>
      <c r="W1967" s="323"/>
      <c r="X1967" s="323"/>
      <c r="Y1967" s="323"/>
    </row>
    <row r="1968" spans="1:25" s="1130" customFormat="1" ht="13.2" hidden="1">
      <c r="A1968" s="1321"/>
      <c r="B1968" s="1137" t="s">
        <v>18</v>
      </c>
      <c r="C1968" s="1134">
        <v>32</v>
      </c>
      <c r="D1968" s="1135">
        <v>45</v>
      </c>
      <c r="E1968" s="1135">
        <v>45</v>
      </c>
      <c r="F1968" s="1135">
        <v>90</v>
      </c>
      <c r="G1968" s="1135">
        <v>123</v>
      </c>
      <c r="H1968" s="1135">
        <v>130</v>
      </c>
      <c r="I1968" s="1135">
        <v>153</v>
      </c>
      <c r="J1968" s="1135">
        <v>128</v>
      </c>
      <c r="K1968" s="1135">
        <v>85</v>
      </c>
      <c r="L1968" s="1135">
        <v>58</v>
      </c>
      <c r="M1968" s="1135">
        <v>26</v>
      </c>
      <c r="N1968" s="1136">
        <v>22</v>
      </c>
      <c r="O1968" s="1145">
        <v>687</v>
      </c>
      <c r="P1968" s="323"/>
      <c r="Q1968" s="323"/>
      <c r="R1968" s="326"/>
      <c r="S1968" s="326"/>
      <c r="T1968" s="327"/>
      <c r="U1968" s="326"/>
      <c r="V1968" s="328"/>
      <c r="W1968" s="323"/>
      <c r="X1968" s="323"/>
      <c r="Y1968" s="323"/>
    </row>
    <row r="1969" spans="1:25" s="1130" customFormat="1" ht="13.2" hidden="1">
      <c r="A1969" s="1319" t="s">
        <v>981</v>
      </c>
      <c r="B1969" s="1140" t="s">
        <v>15</v>
      </c>
      <c r="C1969" s="1141">
        <v>31</v>
      </c>
      <c r="D1969" s="1142">
        <v>56</v>
      </c>
      <c r="E1969" s="1142">
        <v>64</v>
      </c>
      <c r="F1969" s="1142">
        <v>125</v>
      </c>
      <c r="G1969" s="1142">
        <v>179</v>
      </c>
      <c r="H1969" s="1142">
        <v>190</v>
      </c>
      <c r="I1969" s="1142">
        <v>211</v>
      </c>
      <c r="J1969" s="1142">
        <v>180</v>
      </c>
      <c r="K1969" s="1142">
        <v>118</v>
      </c>
      <c r="L1969" s="1142">
        <v>86</v>
      </c>
      <c r="M1969" s="1142">
        <v>38</v>
      </c>
      <c r="N1969" s="1143">
        <v>27</v>
      </c>
      <c r="O1969" s="1144">
        <v>957</v>
      </c>
      <c r="P1969" s="323"/>
      <c r="Q1969" s="323"/>
      <c r="R1969" s="326"/>
      <c r="S1969" s="326"/>
      <c r="T1969" s="327"/>
      <c r="U1969" s="326"/>
      <c r="V1969" s="328"/>
      <c r="W1969" s="323"/>
      <c r="X1969" s="323"/>
      <c r="Y1969" s="323"/>
    </row>
    <row r="1970" spans="1:25" s="1130" customFormat="1" ht="13.2" hidden="1">
      <c r="A1970" s="1320"/>
      <c r="B1970" s="1140" t="s">
        <v>16</v>
      </c>
      <c r="C1970" s="1141">
        <v>30</v>
      </c>
      <c r="D1970" s="1142">
        <v>53</v>
      </c>
      <c r="E1970" s="1142">
        <v>58</v>
      </c>
      <c r="F1970" s="1142">
        <v>114</v>
      </c>
      <c r="G1970" s="1142">
        <v>166</v>
      </c>
      <c r="H1970" s="1142">
        <v>173</v>
      </c>
      <c r="I1970" s="1142">
        <v>192</v>
      </c>
      <c r="J1970" s="1142">
        <v>166</v>
      </c>
      <c r="K1970" s="1142">
        <v>110</v>
      </c>
      <c r="L1970" s="1142">
        <v>83</v>
      </c>
      <c r="M1970" s="1142">
        <v>36</v>
      </c>
      <c r="N1970" s="1143">
        <v>26</v>
      </c>
      <c r="O1970" s="1144">
        <v>884</v>
      </c>
      <c r="P1970" s="323"/>
      <c r="Q1970" s="323"/>
      <c r="R1970" s="326"/>
      <c r="S1970" s="326"/>
      <c r="T1970" s="327"/>
      <c r="U1970" s="326"/>
      <c r="V1970" s="328"/>
      <c r="W1970" s="323"/>
      <c r="X1970" s="323"/>
      <c r="Y1970" s="323"/>
    </row>
    <row r="1971" spans="1:25" s="1130" customFormat="1" ht="13.2" hidden="1">
      <c r="A1971" s="1320"/>
      <c r="B1971" s="1140" t="s">
        <v>17</v>
      </c>
      <c r="C1971" s="1141">
        <v>27</v>
      </c>
      <c r="D1971" s="1142">
        <v>48</v>
      </c>
      <c r="E1971" s="1142">
        <v>51</v>
      </c>
      <c r="F1971" s="1142">
        <v>102</v>
      </c>
      <c r="G1971" s="1142">
        <v>149</v>
      </c>
      <c r="H1971" s="1142">
        <v>154</v>
      </c>
      <c r="I1971" s="1142">
        <v>172</v>
      </c>
      <c r="J1971" s="1142">
        <v>150</v>
      </c>
      <c r="K1971" s="1142">
        <v>100</v>
      </c>
      <c r="L1971" s="1142">
        <v>77</v>
      </c>
      <c r="M1971" s="1142">
        <v>34</v>
      </c>
      <c r="N1971" s="1143">
        <v>24</v>
      </c>
      <c r="O1971" s="1144">
        <v>798</v>
      </c>
      <c r="P1971" s="323"/>
      <c r="Q1971" s="323"/>
      <c r="R1971" s="326"/>
      <c r="S1971" s="326"/>
      <c r="T1971" s="327"/>
      <c r="U1971" s="326"/>
      <c r="V1971" s="328"/>
      <c r="W1971" s="323"/>
      <c r="X1971" s="323"/>
      <c r="Y1971" s="323"/>
    </row>
    <row r="1972" spans="1:25" s="1130" customFormat="1" ht="13.2" hidden="1">
      <c r="A1972" s="1321"/>
      <c r="B1972" s="1137" t="s">
        <v>18</v>
      </c>
      <c r="C1972" s="1134">
        <v>22</v>
      </c>
      <c r="D1972" s="1135">
        <v>37</v>
      </c>
      <c r="E1972" s="1135">
        <v>37</v>
      </c>
      <c r="F1972" s="1135">
        <v>76</v>
      </c>
      <c r="G1972" s="1135">
        <v>112</v>
      </c>
      <c r="H1972" s="1135">
        <v>113</v>
      </c>
      <c r="I1972" s="1135">
        <v>127</v>
      </c>
      <c r="J1972" s="1135">
        <v>113</v>
      </c>
      <c r="K1972" s="1135">
        <v>76</v>
      </c>
      <c r="L1972" s="1135">
        <v>62</v>
      </c>
      <c r="M1972" s="1135">
        <v>27</v>
      </c>
      <c r="N1972" s="1136">
        <v>20</v>
      </c>
      <c r="O1972" s="1145">
        <v>602</v>
      </c>
      <c r="P1972" s="323"/>
      <c r="Q1972" s="323"/>
      <c r="R1972" s="326"/>
      <c r="S1972" s="326"/>
      <c r="T1972" s="327"/>
      <c r="U1972" s="326"/>
      <c r="V1972" s="328"/>
      <c r="W1972" s="323"/>
      <c r="X1972" s="323"/>
      <c r="Y1972" s="323"/>
    </row>
    <row r="1973" spans="1:25" s="1130" customFormat="1" ht="13.2" hidden="1">
      <c r="A1973" s="1319" t="s">
        <v>3361</v>
      </c>
      <c r="B1973" s="1140" t="s">
        <v>15</v>
      </c>
      <c r="C1973" s="1141">
        <v>19</v>
      </c>
      <c r="D1973" s="1142">
        <v>40</v>
      </c>
      <c r="E1973" s="1142">
        <v>56</v>
      </c>
      <c r="F1973" s="1142">
        <v>110</v>
      </c>
      <c r="G1973" s="1142">
        <v>160</v>
      </c>
      <c r="H1973" s="1142">
        <v>179</v>
      </c>
      <c r="I1973" s="1142">
        <v>191</v>
      </c>
      <c r="J1973" s="1142">
        <v>152</v>
      </c>
      <c r="K1973" s="1142">
        <v>92</v>
      </c>
      <c r="L1973" s="1142">
        <v>57</v>
      </c>
      <c r="M1973" s="1142">
        <v>24</v>
      </c>
      <c r="N1973" s="1143">
        <v>15</v>
      </c>
      <c r="O1973" s="1144">
        <v>802</v>
      </c>
      <c r="P1973" s="323"/>
      <c r="Q1973" s="323"/>
      <c r="R1973" s="326"/>
      <c r="S1973" s="326"/>
      <c r="T1973" s="327"/>
      <c r="U1973" s="326"/>
      <c r="V1973" s="328"/>
      <c r="W1973" s="323"/>
      <c r="X1973" s="323"/>
      <c r="Y1973" s="323"/>
    </row>
    <row r="1974" spans="1:25" s="1130" customFormat="1" ht="13.2" hidden="1">
      <c r="A1974" s="1320"/>
      <c r="B1974" s="1140" t="s">
        <v>16</v>
      </c>
      <c r="C1974" s="1141">
        <v>17</v>
      </c>
      <c r="D1974" s="1142">
        <v>34</v>
      </c>
      <c r="E1974" s="1142">
        <v>48</v>
      </c>
      <c r="F1974" s="1142">
        <v>94</v>
      </c>
      <c r="G1974" s="1142">
        <v>136</v>
      </c>
      <c r="H1974" s="1142">
        <v>153</v>
      </c>
      <c r="I1974" s="1142">
        <v>159</v>
      </c>
      <c r="J1974" s="1142">
        <v>127</v>
      </c>
      <c r="K1974" s="1142">
        <v>77</v>
      </c>
      <c r="L1974" s="1142">
        <v>48</v>
      </c>
      <c r="M1974" s="1142">
        <v>21</v>
      </c>
      <c r="N1974" s="1143">
        <v>14</v>
      </c>
      <c r="O1974" s="1144">
        <v>680</v>
      </c>
      <c r="P1974" s="323"/>
      <c r="Q1974" s="323"/>
      <c r="R1974" s="326"/>
      <c r="S1974" s="326"/>
      <c r="T1974" s="327"/>
      <c r="U1974" s="326"/>
      <c r="V1974" s="328"/>
      <c r="W1974" s="323"/>
      <c r="X1974" s="323"/>
      <c r="Y1974" s="323"/>
    </row>
    <row r="1975" spans="1:25" s="1130" customFormat="1" ht="13.2" hidden="1">
      <c r="A1975" s="1320"/>
      <c r="B1975" s="1140" t="s">
        <v>17</v>
      </c>
      <c r="C1975" s="1141">
        <v>15</v>
      </c>
      <c r="D1975" s="1142">
        <v>30</v>
      </c>
      <c r="E1975" s="1142">
        <v>42</v>
      </c>
      <c r="F1975" s="1142">
        <v>81</v>
      </c>
      <c r="G1975" s="1142">
        <v>117</v>
      </c>
      <c r="H1975" s="1142">
        <v>131</v>
      </c>
      <c r="I1975" s="1142">
        <v>134</v>
      </c>
      <c r="J1975" s="1142">
        <v>107</v>
      </c>
      <c r="K1975" s="1142">
        <v>66</v>
      </c>
      <c r="L1975" s="1142">
        <v>42</v>
      </c>
      <c r="M1975" s="1142">
        <v>18</v>
      </c>
      <c r="N1975" s="1143">
        <v>13</v>
      </c>
      <c r="O1975" s="1144">
        <v>583</v>
      </c>
      <c r="P1975" s="323"/>
      <c r="Q1975" s="323"/>
      <c r="R1975" s="326"/>
      <c r="S1975" s="326"/>
      <c r="T1975" s="327"/>
      <c r="U1975" s="326"/>
      <c r="V1975" s="328"/>
      <c r="W1975" s="323"/>
      <c r="X1975" s="323"/>
      <c r="Y1975" s="323"/>
    </row>
    <row r="1976" spans="1:25" s="1130" customFormat="1" ht="13.2" hidden="1">
      <c r="A1976" s="1321"/>
      <c r="B1976" s="1137" t="s">
        <v>18</v>
      </c>
      <c r="C1976" s="1134">
        <v>12</v>
      </c>
      <c r="D1976" s="1135">
        <v>23</v>
      </c>
      <c r="E1976" s="1135">
        <v>30</v>
      </c>
      <c r="F1976" s="1135">
        <v>60</v>
      </c>
      <c r="G1976" s="1135">
        <v>87</v>
      </c>
      <c r="H1976" s="1135">
        <v>95</v>
      </c>
      <c r="I1976" s="1135">
        <v>98</v>
      </c>
      <c r="J1976" s="1135">
        <v>79</v>
      </c>
      <c r="K1976" s="1135">
        <v>50</v>
      </c>
      <c r="L1976" s="1135">
        <v>33</v>
      </c>
      <c r="M1976" s="1135">
        <v>14</v>
      </c>
      <c r="N1976" s="1136">
        <v>10</v>
      </c>
      <c r="O1976" s="1145">
        <v>434</v>
      </c>
      <c r="P1976" s="323"/>
      <c r="Q1976" s="323"/>
      <c r="R1976" s="326"/>
      <c r="S1976" s="326"/>
      <c r="T1976" s="327"/>
      <c r="U1976" s="326"/>
      <c r="V1976" s="328"/>
      <c r="W1976" s="323"/>
      <c r="X1976" s="323"/>
      <c r="Y1976" s="323"/>
    </row>
    <row r="1977" spans="1:25" s="1130" customFormat="1" ht="13.2" hidden="1">
      <c r="A1977" s="1319" t="s">
        <v>3362</v>
      </c>
      <c r="B1977" s="1140" t="s">
        <v>15</v>
      </c>
      <c r="C1977" s="1141">
        <v>21</v>
      </c>
      <c r="D1977" s="1142">
        <v>42</v>
      </c>
      <c r="E1977" s="1142">
        <v>60</v>
      </c>
      <c r="F1977" s="1142">
        <v>119</v>
      </c>
      <c r="G1977" s="1142">
        <v>167</v>
      </c>
      <c r="H1977" s="1142">
        <v>190</v>
      </c>
      <c r="I1977" s="1142">
        <v>208</v>
      </c>
      <c r="J1977" s="1142">
        <v>161</v>
      </c>
      <c r="K1977" s="1142">
        <v>97</v>
      </c>
      <c r="L1977" s="1142">
        <v>55</v>
      </c>
      <c r="M1977" s="1142">
        <v>24</v>
      </c>
      <c r="N1977" s="1143">
        <v>16</v>
      </c>
      <c r="O1977" s="1144">
        <v>850</v>
      </c>
      <c r="P1977" s="323"/>
      <c r="Q1977" s="323"/>
      <c r="R1977" s="326"/>
      <c r="S1977" s="326"/>
      <c r="T1977" s="327"/>
      <c r="U1977" s="326"/>
      <c r="V1977" s="328"/>
      <c r="W1977" s="323"/>
      <c r="X1977" s="323"/>
      <c r="Y1977" s="323"/>
    </row>
    <row r="1978" spans="1:25" s="1130" customFormat="1" ht="13.2" hidden="1">
      <c r="A1978" s="1320"/>
      <c r="B1978" s="1140" t="s">
        <v>16</v>
      </c>
      <c r="C1978" s="1141">
        <v>18</v>
      </c>
      <c r="D1978" s="1142">
        <v>37</v>
      </c>
      <c r="E1978" s="1142">
        <v>52</v>
      </c>
      <c r="F1978" s="1142">
        <v>105</v>
      </c>
      <c r="G1978" s="1142">
        <v>146</v>
      </c>
      <c r="H1978" s="1142">
        <v>169</v>
      </c>
      <c r="I1978" s="1142">
        <v>182</v>
      </c>
      <c r="J1978" s="1142">
        <v>138</v>
      </c>
      <c r="K1978" s="1142">
        <v>83</v>
      </c>
      <c r="L1978" s="1142">
        <v>45</v>
      </c>
      <c r="M1978" s="1142">
        <v>20</v>
      </c>
      <c r="N1978" s="1143">
        <v>14</v>
      </c>
      <c r="O1978" s="1144">
        <v>738</v>
      </c>
      <c r="P1978" s="323"/>
      <c r="Q1978" s="323"/>
      <c r="R1978" s="326"/>
      <c r="S1978" s="326"/>
      <c r="T1978" s="327"/>
      <c r="U1978" s="326"/>
      <c r="V1978" s="328"/>
      <c r="W1978" s="323"/>
      <c r="X1978" s="323"/>
      <c r="Y1978" s="323"/>
    </row>
    <row r="1979" spans="1:25" s="1130" customFormat="1" ht="13.2" hidden="1">
      <c r="A1979" s="1320"/>
      <c r="B1979" s="1140" t="s">
        <v>17</v>
      </c>
      <c r="C1979" s="1141">
        <v>16</v>
      </c>
      <c r="D1979" s="1142">
        <v>32</v>
      </c>
      <c r="E1979" s="1142">
        <v>45</v>
      </c>
      <c r="F1979" s="1142">
        <v>91</v>
      </c>
      <c r="G1979" s="1142">
        <v>126</v>
      </c>
      <c r="H1979" s="1142">
        <v>147</v>
      </c>
      <c r="I1979" s="1142">
        <v>158</v>
      </c>
      <c r="J1979" s="1142">
        <v>120</v>
      </c>
      <c r="K1979" s="1142">
        <v>71</v>
      </c>
      <c r="L1979" s="1142">
        <v>39</v>
      </c>
      <c r="M1979" s="1142">
        <v>18</v>
      </c>
      <c r="N1979" s="1143">
        <v>13</v>
      </c>
      <c r="O1979" s="1144">
        <v>642</v>
      </c>
      <c r="P1979" s="323"/>
      <c r="Q1979" s="323"/>
      <c r="R1979" s="326"/>
      <c r="S1979" s="326"/>
      <c r="T1979" s="327"/>
      <c r="U1979" s="326"/>
      <c r="V1979" s="328"/>
      <c r="W1979" s="323"/>
      <c r="X1979" s="323"/>
      <c r="Y1979" s="323"/>
    </row>
    <row r="1980" spans="1:25" s="1130" customFormat="1" ht="13.2" hidden="1">
      <c r="A1980" s="1321"/>
      <c r="B1980" s="1137" t="s">
        <v>18</v>
      </c>
      <c r="C1980" s="1134">
        <v>13</v>
      </c>
      <c r="D1980" s="1135">
        <v>25</v>
      </c>
      <c r="E1980" s="1135">
        <v>33</v>
      </c>
      <c r="F1980" s="1135">
        <v>66</v>
      </c>
      <c r="G1980" s="1135">
        <v>95</v>
      </c>
      <c r="H1980" s="1135">
        <v>107</v>
      </c>
      <c r="I1980" s="1135">
        <v>117</v>
      </c>
      <c r="J1980" s="1135">
        <v>91</v>
      </c>
      <c r="K1980" s="1135">
        <v>54</v>
      </c>
      <c r="L1980" s="1135">
        <v>31</v>
      </c>
      <c r="M1980" s="1135">
        <v>14</v>
      </c>
      <c r="N1980" s="1136">
        <v>10</v>
      </c>
      <c r="O1980" s="1145">
        <v>480</v>
      </c>
      <c r="P1980" s="323"/>
      <c r="Q1980" s="323"/>
      <c r="R1980" s="326"/>
      <c r="S1980" s="326"/>
      <c r="T1980" s="327"/>
      <c r="U1980" s="326"/>
      <c r="V1980" s="328"/>
      <c r="W1980" s="323"/>
      <c r="X1980" s="323"/>
      <c r="Y1980" s="323"/>
    </row>
    <row r="1981" spans="1:25" s="1130" customFormat="1" ht="13.2" hidden="1">
      <c r="A1981" s="1319" t="s">
        <v>12</v>
      </c>
      <c r="B1981" s="1140" t="s">
        <v>15</v>
      </c>
      <c r="C1981" s="1141">
        <v>18</v>
      </c>
      <c r="D1981" s="1142">
        <v>34</v>
      </c>
      <c r="E1981" s="1142">
        <v>52</v>
      </c>
      <c r="F1981" s="1142">
        <v>107</v>
      </c>
      <c r="G1981" s="1142">
        <v>156</v>
      </c>
      <c r="H1981" s="1142">
        <v>180</v>
      </c>
      <c r="I1981" s="1142">
        <v>192</v>
      </c>
      <c r="J1981" s="1142">
        <v>144</v>
      </c>
      <c r="K1981" s="1142">
        <v>80</v>
      </c>
      <c r="L1981" s="1142">
        <v>40</v>
      </c>
      <c r="M1981" s="1142">
        <v>21</v>
      </c>
      <c r="N1981" s="1143">
        <v>15</v>
      </c>
      <c r="O1981" s="1144">
        <v>760</v>
      </c>
      <c r="P1981" s="323"/>
      <c r="Q1981" s="323"/>
      <c r="R1981" s="326"/>
      <c r="S1981" s="326"/>
      <c r="T1981" s="327"/>
      <c r="U1981" s="326"/>
      <c r="V1981" s="328"/>
      <c r="W1981" s="323"/>
      <c r="X1981" s="323"/>
      <c r="Y1981" s="323"/>
    </row>
    <row r="1982" spans="1:25" s="1130" customFormat="1" ht="13.2" hidden="1">
      <c r="A1982" s="1320"/>
      <c r="B1982" s="1140" t="s">
        <v>16</v>
      </c>
      <c r="C1982" s="1141">
        <v>16</v>
      </c>
      <c r="D1982" s="1142">
        <v>31</v>
      </c>
      <c r="E1982" s="1142">
        <v>44</v>
      </c>
      <c r="F1982" s="1142">
        <v>84</v>
      </c>
      <c r="G1982" s="1142">
        <v>125</v>
      </c>
      <c r="H1982" s="1142">
        <v>152</v>
      </c>
      <c r="I1982" s="1142">
        <v>155</v>
      </c>
      <c r="J1982" s="1142">
        <v>107</v>
      </c>
      <c r="K1982" s="1142">
        <v>56</v>
      </c>
      <c r="L1982" s="1142">
        <v>35</v>
      </c>
      <c r="M1982" s="1142">
        <v>19</v>
      </c>
      <c r="N1982" s="1143">
        <v>14</v>
      </c>
      <c r="O1982" s="1144">
        <v>613</v>
      </c>
      <c r="P1982" s="323"/>
      <c r="Q1982" s="323"/>
      <c r="R1982" s="326"/>
      <c r="S1982" s="326"/>
      <c r="T1982" s="327"/>
      <c r="U1982" s="326"/>
      <c r="V1982" s="328"/>
      <c r="W1982" s="323"/>
      <c r="X1982" s="323"/>
      <c r="Y1982" s="323"/>
    </row>
    <row r="1983" spans="1:25" s="1130" customFormat="1" ht="13.2" hidden="1">
      <c r="A1983" s="1320"/>
      <c r="B1983" s="1140" t="s">
        <v>17</v>
      </c>
      <c r="C1983" s="1141">
        <v>15</v>
      </c>
      <c r="D1983" s="1142">
        <v>28</v>
      </c>
      <c r="E1983" s="1142">
        <v>39</v>
      </c>
      <c r="F1983" s="1142">
        <v>69</v>
      </c>
      <c r="G1983" s="1142">
        <v>93</v>
      </c>
      <c r="H1983" s="1142">
        <v>119</v>
      </c>
      <c r="I1983" s="1142">
        <v>113</v>
      </c>
      <c r="J1983" s="1142">
        <v>78</v>
      </c>
      <c r="K1983" s="1142">
        <v>49</v>
      </c>
      <c r="L1983" s="1142">
        <v>32</v>
      </c>
      <c r="M1983" s="1142">
        <v>17</v>
      </c>
      <c r="N1983" s="1143">
        <v>12</v>
      </c>
      <c r="O1983" s="1144">
        <v>485</v>
      </c>
      <c r="P1983" s="323"/>
      <c r="Q1983" s="323"/>
      <c r="R1983" s="326"/>
      <c r="S1983" s="326"/>
      <c r="T1983" s="327"/>
      <c r="U1983" s="326"/>
      <c r="V1983" s="328"/>
      <c r="W1983" s="323"/>
      <c r="X1983" s="323"/>
      <c r="Y1983" s="323"/>
    </row>
    <row r="1984" spans="1:25" s="1130" customFormat="1" ht="13.2" hidden="1">
      <c r="A1984" s="1321"/>
      <c r="B1984" s="1137" t="s">
        <v>18</v>
      </c>
      <c r="C1984" s="1134">
        <v>12</v>
      </c>
      <c r="D1984" s="1135">
        <v>22</v>
      </c>
      <c r="E1984" s="1135">
        <v>29</v>
      </c>
      <c r="F1984" s="1135">
        <v>52</v>
      </c>
      <c r="G1984" s="1135">
        <v>69</v>
      </c>
      <c r="H1984" s="1135">
        <v>82</v>
      </c>
      <c r="I1984" s="1135">
        <v>79</v>
      </c>
      <c r="J1984" s="1135">
        <v>60</v>
      </c>
      <c r="K1984" s="1135">
        <v>40</v>
      </c>
      <c r="L1984" s="1135">
        <v>26</v>
      </c>
      <c r="M1984" s="1135">
        <v>13</v>
      </c>
      <c r="N1984" s="1136">
        <v>10</v>
      </c>
      <c r="O1984" s="1145">
        <v>361</v>
      </c>
      <c r="P1984" s="323"/>
      <c r="Q1984" s="323"/>
      <c r="R1984" s="326"/>
      <c r="S1984" s="326"/>
      <c r="T1984" s="327"/>
      <c r="U1984" s="326"/>
      <c r="V1984" s="328"/>
      <c r="W1984" s="323"/>
      <c r="X1984" s="323"/>
      <c r="Y1984" s="323"/>
    </row>
    <row r="1985" spans="1:25" s="1130" customFormat="1" ht="39.6" hidden="1">
      <c r="A1985" s="1146"/>
      <c r="B1985" s="1147"/>
      <c r="C1985" s="1375" t="s">
        <v>3363</v>
      </c>
      <c r="D1985" s="1376"/>
      <c r="E1985" s="1376"/>
      <c r="F1985" s="1376"/>
      <c r="G1985" s="1376"/>
      <c r="H1985" s="1376"/>
      <c r="I1985" s="1376"/>
      <c r="J1985" s="1376"/>
      <c r="K1985" s="1376"/>
      <c r="L1985" s="1376"/>
      <c r="M1985" s="1376"/>
      <c r="N1985" s="1377"/>
      <c r="O1985" s="1131" t="s">
        <v>3364</v>
      </c>
      <c r="P1985" s="323"/>
      <c r="Q1985" s="323"/>
      <c r="R1985" s="326"/>
      <c r="S1985" s="326"/>
      <c r="T1985" s="327"/>
      <c r="U1985" s="326"/>
      <c r="V1985" s="328"/>
      <c r="W1985" s="323"/>
      <c r="X1985" s="323"/>
      <c r="Y1985" s="323"/>
    </row>
    <row r="1986" spans="1:25" s="1130" customFormat="1" ht="12.75" hidden="1" customHeight="1">
      <c r="A1986" s="1148" t="s">
        <v>1894</v>
      </c>
      <c r="B1986" s="1149"/>
      <c r="C1986" s="1150">
        <v>0.5</v>
      </c>
      <c r="D1986" s="1151">
        <v>1</v>
      </c>
      <c r="E1986" s="1151">
        <v>3.9</v>
      </c>
      <c r="F1986" s="1151">
        <v>8.1999999999999993</v>
      </c>
      <c r="G1986" s="1151">
        <v>12.9</v>
      </c>
      <c r="H1986" s="1151">
        <v>15.5</v>
      </c>
      <c r="I1986" s="1151">
        <v>17.5</v>
      </c>
      <c r="J1986" s="1151">
        <v>17.600000000000001</v>
      </c>
      <c r="K1986" s="1151">
        <v>13.2</v>
      </c>
      <c r="L1986" s="1151">
        <v>9.1999999999999993</v>
      </c>
      <c r="M1986" s="1151">
        <v>3.8</v>
      </c>
      <c r="N1986" s="1152">
        <v>0.8</v>
      </c>
      <c r="O1986" s="1153">
        <v>8.6999999999999993</v>
      </c>
      <c r="P1986" s="323"/>
      <c r="Q1986" s="323"/>
      <c r="R1986" s="326"/>
      <c r="S1986" s="326"/>
      <c r="T1986" s="327"/>
      <c r="U1986" s="326"/>
      <c r="V1986" s="328"/>
      <c r="W1986" s="323"/>
      <c r="X1986" s="323"/>
      <c r="Y1986" s="323"/>
    </row>
    <row r="1987" spans="1:25" s="1130" customFormat="1" ht="13.2" hidden="1">
      <c r="P1987" s="1155"/>
      <c r="Q1987" s="1129"/>
    </row>
    <row r="1988" spans="1:25" s="1130" customFormat="1" ht="13.2" hidden="1">
      <c r="P1988" s="1155"/>
      <c r="Q1988" s="1129"/>
    </row>
    <row r="1989" spans="1:25" s="1130" customFormat="1" ht="13.2" hidden="1">
      <c r="A1989" s="1129" t="s">
        <v>3381</v>
      </c>
      <c r="Q1989" s="1129"/>
    </row>
    <row r="1990" spans="1:25" s="1130" customFormat="1" ht="13.2" hidden="1">
      <c r="Q1990" s="1129"/>
    </row>
    <row r="1991" spans="1:25" s="1130" customFormat="1" ht="66" hidden="1">
      <c r="A1991" s="1314" t="s">
        <v>3382</v>
      </c>
      <c r="B1991" s="1315"/>
      <c r="C1991" s="1316" t="s">
        <v>3355</v>
      </c>
      <c r="D1991" s="1317"/>
      <c r="E1991" s="1317"/>
      <c r="F1991" s="1317"/>
      <c r="G1991" s="1317"/>
      <c r="H1991" s="1317"/>
      <c r="I1991" s="1317"/>
      <c r="J1991" s="1317"/>
      <c r="K1991" s="1317"/>
      <c r="L1991" s="1317"/>
      <c r="M1991" s="1317"/>
      <c r="N1991" s="1318"/>
      <c r="O1991" s="1131" t="s">
        <v>3356</v>
      </c>
      <c r="P1991" s="323"/>
      <c r="Q1991" s="1156">
        <v>10</v>
      </c>
      <c r="R1991" s="326"/>
      <c r="S1991" s="326"/>
      <c r="T1991" s="327"/>
      <c r="U1991" s="326"/>
      <c r="V1991" s="328"/>
      <c r="W1991" s="323"/>
      <c r="X1991" s="323"/>
      <c r="Y1991" s="323"/>
    </row>
    <row r="1992" spans="1:25" s="1130" customFormat="1" ht="13.2" hidden="1">
      <c r="A1992" s="1132" t="s">
        <v>77</v>
      </c>
      <c r="B1992" s="1133" t="s">
        <v>1795</v>
      </c>
      <c r="C1992" s="1134" t="s">
        <v>116</v>
      </c>
      <c r="D1992" s="1135" t="s">
        <v>117</v>
      </c>
      <c r="E1992" s="1135" t="s">
        <v>118</v>
      </c>
      <c r="F1992" s="1135" t="s">
        <v>119</v>
      </c>
      <c r="G1992" s="1135" t="s">
        <v>120</v>
      </c>
      <c r="H1992" s="1135" t="s">
        <v>121</v>
      </c>
      <c r="I1992" s="1135" t="s">
        <v>122</v>
      </c>
      <c r="J1992" s="1135" t="s">
        <v>123</v>
      </c>
      <c r="K1992" s="1135" t="s">
        <v>124</v>
      </c>
      <c r="L1992" s="1135" t="s">
        <v>125</v>
      </c>
      <c r="M1992" s="1135" t="s">
        <v>126</v>
      </c>
      <c r="N1992" s="1136" t="s">
        <v>127</v>
      </c>
      <c r="O1992" s="1137" t="s">
        <v>3357</v>
      </c>
      <c r="P1992" s="323"/>
      <c r="Q1992" s="323"/>
      <c r="R1992" s="326"/>
      <c r="S1992" s="326"/>
      <c r="T1992" s="327"/>
      <c r="U1992" s="326"/>
      <c r="V1992" s="328"/>
      <c r="W1992" s="323"/>
      <c r="X1992" s="323"/>
      <c r="Y1992" s="323"/>
    </row>
    <row r="1993" spans="1:25" s="1130" customFormat="1" ht="13.2" hidden="1">
      <c r="A1993" s="1138" t="s">
        <v>3358</v>
      </c>
      <c r="B1993" s="1137" t="s">
        <v>14</v>
      </c>
      <c r="C1993" s="1134">
        <v>24</v>
      </c>
      <c r="D1993" s="1135">
        <v>53</v>
      </c>
      <c r="E1993" s="1135">
        <v>115</v>
      </c>
      <c r="F1993" s="1135">
        <v>154</v>
      </c>
      <c r="G1993" s="1135">
        <v>197</v>
      </c>
      <c r="H1993" s="1135">
        <v>227</v>
      </c>
      <c r="I1993" s="1135">
        <v>222</v>
      </c>
      <c r="J1993" s="1135">
        <v>197</v>
      </c>
      <c r="K1993" s="1135">
        <v>110</v>
      </c>
      <c r="L1993" s="1135">
        <v>59</v>
      </c>
      <c r="M1993" s="1135">
        <v>37</v>
      </c>
      <c r="N1993" s="1136">
        <v>24</v>
      </c>
      <c r="O1993" s="1139">
        <v>1039</v>
      </c>
      <c r="P1993" s="323"/>
      <c r="Q1993" s="323"/>
      <c r="R1993" s="326"/>
      <c r="S1993" s="326"/>
      <c r="T1993" s="327"/>
      <c r="U1993" s="326"/>
      <c r="V1993" s="328"/>
      <c r="W1993" s="323"/>
      <c r="X1993" s="323"/>
      <c r="Y1993" s="323"/>
    </row>
    <row r="1994" spans="1:25" s="1130" customFormat="1" ht="13.2" hidden="1">
      <c r="A1994" s="1319" t="s">
        <v>11</v>
      </c>
      <c r="B1994" s="1140" t="s">
        <v>15</v>
      </c>
      <c r="C1994" s="1141">
        <v>31</v>
      </c>
      <c r="D1994" s="1142">
        <v>66</v>
      </c>
      <c r="E1994" s="1142">
        <v>141</v>
      </c>
      <c r="F1994" s="1142">
        <v>168</v>
      </c>
      <c r="G1994" s="1142">
        <v>196</v>
      </c>
      <c r="H1994" s="1142">
        <v>223</v>
      </c>
      <c r="I1994" s="1142">
        <v>223</v>
      </c>
      <c r="J1994" s="1142">
        <v>208</v>
      </c>
      <c r="K1994" s="1142">
        <v>122</v>
      </c>
      <c r="L1994" s="1142">
        <v>65</v>
      </c>
      <c r="M1994" s="1142">
        <v>53</v>
      </c>
      <c r="N1994" s="1143">
        <v>36</v>
      </c>
      <c r="O1994" s="1144">
        <v>1122</v>
      </c>
      <c r="P1994" s="323"/>
      <c r="Q1994" s="323"/>
      <c r="R1994" s="326"/>
      <c r="S1994" s="326"/>
      <c r="T1994" s="327"/>
      <c r="U1994" s="326"/>
      <c r="V1994" s="328"/>
      <c r="W1994" s="323"/>
      <c r="X1994" s="323"/>
      <c r="Y1994" s="323"/>
    </row>
    <row r="1995" spans="1:25" s="1130" customFormat="1" ht="13.2" hidden="1">
      <c r="A1995" s="1320"/>
      <c r="B1995" s="1140" t="s">
        <v>16</v>
      </c>
      <c r="C1995" s="1141">
        <v>32</v>
      </c>
      <c r="D1995" s="1142">
        <v>68</v>
      </c>
      <c r="E1995" s="1142">
        <v>145</v>
      </c>
      <c r="F1995" s="1142">
        <v>163</v>
      </c>
      <c r="G1995" s="1142">
        <v>184</v>
      </c>
      <c r="H1995" s="1142">
        <v>207</v>
      </c>
      <c r="I1995" s="1142">
        <v>209</v>
      </c>
      <c r="J1995" s="1142">
        <v>200</v>
      </c>
      <c r="K1995" s="1142">
        <v>120</v>
      </c>
      <c r="L1995" s="1142">
        <v>65</v>
      </c>
      <c r="M1995" s="1142">
        <v>57</v>
      </c>
      <c r="N1995" s="1143">
        <v>40</v>
      </c>
      <c r="O1995" s="1144">
        <v>1090</v>
      </c>
      <c r="P1995" s="323"/>
      <c r="Q1995" s="323"/>
      <c r="R1995" s="326"/>
      <c r="S1995" s="326"/>
      <c r="T1995" s="327"/>
      <c r="U1995" s="326"/>
      <c r="V1995" s="328"/>
      <c r="W1995" s="323"/>
      <c r="X1995" s="323"/>
      <c r="Y1995" s="323"/>
    </row>
    <row r="1996" spans="1:25" s="1130" customFormat="1" ht="13.2" hidden="1">
      <c r="A1996" s="1320"/>
      <c r="B1996" s="1140" t="s">
        <v>17</v>
      </c>
      <c r="C1996" s="1141">
        <v>33</v>
      </c>
      <c r="D1996" s="1142">
        <v>67</v>
      </c>
      <c r="E1996" s="1142">
        <v>141</v>
      </c>
      <c r="F1996" s="1142">
        <v>151</v>
      </c>
      <c r="G1996" s="1142">
        <v>164</v>
      </c>
      <c r="H1996" s="1142">
        <v>183</v>
      </c>
      <c r="I1996" s="1142">
        <v>186</v>
      </c>
      <c r="J1996" s="1142">
        <v>183</v>
      </c>
      <c r="K1996" s="1142">
        <v>113</v>
      </c>
      <c r="L1996" s="1142">
        <v>62</v>
      </c>
      <c r="M1996" s="1142">
        <v>59</v>
      </c>
      <c r="N1996" s="1143">
        <v>42</v>
      </c>
      <c r="O1996" s="1144">
        <v>1013</v>
      </c>
      <c r="P1996" s="323"/>
      <c r="Q1996" s="323"/>
      <c r="R1996" s="326"/>
      <c r="S1996" s="326"/>
      <c r="T1996" s="327"/>
      <c r="U1996" s="326"/>
      <c r="V1996" s="328"/>
      <c r="W1996" s="323"/>
      <c r="X1996" s="323"/>
      <c r="Y1996" s="323"/>
    </row>
    <row r="1997" spans="1:25" s="1130" customFormat="1" ht="13.2" hidden="1">
      <c r="A1997" s="1321"/>
      <c r="B1997" s="1137" t="s">
        <v>18</v>
      </c>
      <c r="C1997" s="1134">
        <v>29</v>
      </c>
      <c r="D1997" s="1135">
        <v>57</v>
      </c>
      <c r="E1997" s="1135">
        <v>114</v>
      </c>
      <c r="F1997" s="1135">
        <v>111</v>
      </c>
      <c r="G1997" s="1135">
        <v>112</v>
      </c>
      <c r="H1997" s="1135">
        <v>122</v>
      </c>
      <c r="I1997" s="1135">
        <v>126</v>
      </c>
      <c r="J1997" s="1135">
        <v>130</v>
      </c>
      <c r="K1997" s="1135">
        <v>86</v>
      </c>
      <c r="L1997" s="1135">
        <v>49</v>
      </c>
      <c r="M1997" s="1135">
        <v>53</v>
      </c>
      <c r="N1997" s="1136">
        <v>40</v>
      </c>
      <c r="O1997" s="1145">
        <v>753</v>
      </c>
      <c r="P1997" s="323"/>
      <c r="Q1997" s="323"/>
      <c r="R1997" s="326"/>
      <c r="S1997" s="326"/>
      <c r="T1997" s="327"/>
      <c r="U1997" s="326"/>
      <c r="V1997" s="328"/>
      <c r="W1997" s="323"/>
      <c r="X1997" s="323"/>
      <c r="Y1997" s="323"/>
    </row>
    <row r="1998" spans="1:25" s="1130" customFormat="1" ht="13.2" hidden="1">
      <c r="A1998" s="1319" t="s">
        <v>3359</v>
      </c>
      <c r="B1998" s="1140" t="s">
        <v>15</v>
      </c>
      <c r="C1998" s="1141">
        <v>30</v>
      </c>
      <c r="D1998" s="1142">
        <v>64</v>
      </c>
      <c r="E1998" s="1142">
        <v>138</v>
      </c>
      <c r="F1998" s="1142">
        <v>170</v>
      </c>
      <c r="G1998" s="1142">
        <v>204</v>
      </c>
      <c r="H1998" s="1142">
        <v>232</v>
      </c>
      <c r="I1998" s="1142">
        <v>228</v>
      </c>
      <c r="J1998" s="1142">
        <v>213</v>
      </c>
      <c r="K1998" s="1142">
        <v>118</v>
      </c>
      <c r="L1998" s="1142">
        <v>64</v>
      </c>
      <c r="M1998" s="1142">
        <v>50</v>
      </c>
      <c r="N1998" s="1143">
        <v>34</v>
      </c>
      <c r="O1998" s="1144">
        <v>1131</v>
      </c>
      <c r="P1998" s="323"/>
      <c r="Q1998" s="323"/>
      <c r="R1998" s="326"/>
      <c r="S1998" s="326"/>
      <c r="T1998" s="327"/>
      <c r="U1998" s="326"/>
      <c r="V1998" s="328"/>
      <c r="W1998" s="323"/>
      <c r="X1998" s="323"/>
      <c r="Y1998" s="323"/>
    </row>
    <row r="1999" spans="1:25" s="1130" customFormat="1" ht="13.2" hidden="1">
      <c r="A1999" s="1320"/>
      <c r="B1999" s="1140" t="s">
        <v>16</v>
      </c>
      <c r="C1999" s="1141">
        <v>31</v>
      </c>
      <c r="D1999" s="1142">
        <v>65</v>
      </c>
      <c r="E1999" s="1142">
        <v>140</v>
      </c>
      <c r="F1999" s="1142">
        <v>167</v>
      </c>
      <c r="G1999" s="1142">
        <v>195</v>
      </c>
      <c r="H1999" s="1142">
        <v>220</v>
      </c>
      <c r="I1999" s="1142">
        <v>217</v>
      </c>
      <c r="J1999" s="1142">
        <v>207</v>
      </c>
      <c r="K1999" s="1142">
        <v>115</v>
      </c>
      <c r="L1999" s="1142">
        <v>63</v>
      </c>
      <c r="M1999" s="1142">
        <v>54</v>
      </c>
      <c r="N1999" s="1143">
        <v>37</v>
      </c>
      <c r="O1999" s="1144">
        <v>1106</v>
      </c>
      <c r="P1999" s="323"/>
      <c r="Q1999" s="323"/>
      <c r="R1999" s="326"/>
      <c r="S1999" s="326"/>
      <c r="T1999" s="327"/>
      <c r="U1999" s="326"/>
      <c r="V1999" s="328"/>
      <c r="W1999" s="323"/>
      <c r="X1999" s="323"/>
      <c r="Y1999" s="323"/>
    </row>
    <row r="2000" spans="1:25" s="1130" customFormat="1" ht="13.2" hidden="1">
      <c r="A2000" s="1320"/>
      <c r="B2000" s="1140" t="s">
        <v>17</v>
      </c>
      <c r="C2000" s="1141">
        <v>30</v>
      </c>
      <c r="D2000" s="1142">
        <v>64</v>
      </c>
      <c r="E2000" s="1142">
        <v>136</v>
      </c>
      <c r="F2000" s="1142">
        <v>158</v>
      </c>
      <c r="G2000" s="1142">
        <v>179</v>
      </c>
      <c r="H2000" s="1142">
        <v>200</v>
      </c>
      <c r="I2000" s="1142">
        <v>199</v>
      </c>
      <c r="J2000" s="1142">
        <v>194</v>
      </c>
      <c r="K2000" s="1142">
        <v>108</v>
      </c>
      <c r="L2000" s="1142">
        <v>59</v>
      </c>
      <c r="M2000" s="1142">
        <v>54</v>
      </c>
      <c r="N2000" s="1143">
        <v>38</v>
      </c>
      <c r="O2000" s="1144">
        <v>1038</v>
      </c>
      <c r="P2000" s="323"/>
      <c r="Q2000" s="323"/>
      <c r="R2000" s="326"/>
      <c r="S2000" s="326"/>
      <c r="T2000" s="327"/>
      <c r="U2000" s="326"/>
      <c r="V2000" s="328"/>
      <c r="W2000" s="323"/>
      <c r="X2000" s="323"/>
      <c r="Y2000" s="323"/>
    </row>
    <row r="2001" spans="1:25" s="1130" customFormat="1" ht="13.2" hidden="1">
      <c r="A2001" s="1321"/>
      <c r="B2001" s="1137" t="s">
        <v>18</v>
      </c>
      <c r="C2001" s="1134">
        <v>26</v>
      </c>
      <c r="D2001" s="1135">
        <v>54</v>
      </c>
      <c r="E2001" s="1135">
        <v>111</v>
      </c>
      <c r="F2001" s="1135">
        <v>121</v>
      </c>
      <c r="G2001" s="1135">
        <v>132</v>
      </c>
      <c r="H2001" s="1135">
        <v>144</v>
      </c>
      <c r="I2001" s="1135">
        <v>145</v>
      </c>
      <c r="J2001" s="1135">
        <v>146</v>
      </c>
      <c r="K2001" s="1135">
        <v>82</v>
      </c>
      <c r="L2001" s="1135">
        <v>47</v>
      </c>
      <c r="M2001" s="1135">
        <v>48</v>
      </c>
      <c r="N2001" s="1136">
        <v>35</v>
      </c>
      <c r="O2001" s="1145">
        <v>799</v>
      </c>
      <c r="P2001" s="323"/>
      <c r="Q2001" s="323"/>
      <c r="R2001" s="326"/>
      <c r="S2001" s="326"/>
      <c r="T2001" s="327"/>
      <c r="U2001" s="326"/>
      <c r="V2001" s="328"/>
      <c r="W2001" s="323"/>
      <c r="X2001" s="323"/>
      <c r="Y2001" s="323"/>
    </row>
    <row r="2002" spans="1:25" s="1130" customFormat="1" ht="13.2" hidden="1">
      <c r="A2002" s="1319" t="s">
        <v>3360</v>
      </c>
      <c r="B2002" s="1140" t="s">
        <v>15</v>
      </c>
      <c r="C2002" s="1141">
        <v>27</v>
      </c>
      <c r="D2002" s="1142">
        <v>58</v>
      </c>
      <c r="E2002" s="1142">
        <v>125</v>
      </c>
      <c r="F2002" s="1142">
        <v>153</v>
      </c>
      <c r="G2002" s="1142">
        <v>184</v>
      </c>
      <c r="H2002" s="1142">
        <v>211</v>
      </c>
      <c r="I2002" s="1142">
        <v>212</v>
      </c>
      <c r="J2002" s="1142">
        <v>192</v>
      </c>
      <c r="K2002" s="1142">
        <v>114</v>
      </c>
      <c r="L2002" s="1142">
        <v>60</v>
      </c>
      <c r="M2002" s="1142">
        <v>44</v>
      </c>
      <c r="N2002" s="1143">
        <v>30</v>
      </c>
      <c r="O2002" s="1144">
        <v>1034</v>
      </c>
      <c r="P2002" s="323"/>
      <c r="Q2002" s="323"/>
      <c r="R2002" s="326"/>
      <c r="S2002" s="326"/>
      <c r="T2002" s="327"/>
      <c r="U2002" s="326"/>
      <c r="V2002" s="328"/>
      <c r="W2002" s="323"/>
      <c r="X2002" s="323"/>
      <c r="Y2002" s="323"/>
    </row>
    <row r="2003" spans="1:25" s="1130" customFormat="1" ht="13.2" hidden="1">
      <c r="A2003" s="1320"/>
      <c r="B2003" s="1140" t="s">
        <v>16</v>
      </c>
      <c r="C2003" s="1141">
        <v>27</v>
      </c>
      <c r="D2003" s="1142">
        <v>57</v>
      </c>
      <c r="E2003" s="1142">
        <v>123</v>
      </c>
      <c r="F2003" s="1142">
        <v>145</v>
      </c>
      <c r="G2003" s="1142">
        <v>170</v>
      </c>
      <c r="H2003" s="1142">
        <v>194</v>
      </c>
      <c r="I2003" s="1142">
        <v>196</v>
      </c>
      <c r="J2003" s="1142">
        <v>180</v>
      </c>
      <c r="K2003" s="1142">
        <v>110</v>
      </c>
      <c r="L2003" s="1142">
        <v>58</v>
      </c>
      <c r="M2003" s="1142">
        <v>45</v>
      </c>
      <c r="N2003" s="1143">
        <v>31</v>
      </c>
      <c r="O2003" s="1144">
        <v>979</v>
      </c>
      <c r="P2003" s="323"/>
      <c r="Q2003" s="323"/>
      <c r="R2003" s="326"/>
      <c r="S2003" s="326"/>
      <c r="T2003" s="327"/>
      <c r="U2003" s="326"/>
      <c r="V2003" s="328"/>
      <c r="W2003" s="323"/>
      <c r="X2003" s="323"/>
      <c r="Y2003" s="323"/>
    </row>
    <row r="2004" spans="1:25" s="1130" customFormat="1" ht="13.2" hidden="1">
      <c r="A2004" s="1320"/>
      <c r="B2004" s="1140" t="s">
        <v>17</v>
      </c>
      <c r="C2004" s="1141">
        <v>26</v>
      </c>
      <c r="D2004" s="1142">
        <v>54</v>
      </c>
      <c r="E2004" s="1142">
        <v>117</v>
      </c>
      <c r="F2004" s="1142">
        <v>133</v>
      </c>
      <c r="G2004" s="1142">
        <v>152</v>
      </c>
      <c r="H2004" s="1142">
        <v>171</v>
      </c>
      <c r="I2004" s="1142">
        <v>176</v>
      </c>
      <c r="J2004" s="1142">
        <v>163</v>
      </c>
      <c r="K2004" s="1142">
        <v>102</v>
      </c>
      <c r="L2004" s="1142">
        <v>53</v>
      </c>
      <c r="M2004" s="1142">
        <v>44</v>
      </c>
      <c r="N2004" s="1143">
        <v>31</v>
      </c>
      <c r="O2004" s="1144">
        <v>894</v>
      </c>
      <c r="P2004" s="323"/>
      <c r="Q2004" s="323"/>
      <c r="R2004" s="326"/>
      <c r="S2004" s="326"/>
      <c r="T2004" s="327"/>
      <c r="U2004" s="326"/>
      <c r="V2004" s="328"/>
      <c r="W2004" s="323"/>
      <c r="X2004" s="323"/>
      <c r="Y2004" s="323"/>
    </row>
    <row r="2005" spans="1:25" s="1130" customFormat="1" ht="13.2" hidden="1">
      <c r="A2005" s="1321"/>
      <c r="B2005" s="1137" t="s">
        <v>18</v>
      </c>
      <c r="C2005" s="1134">
        <v>21</v>
      </c>
      <c r="D2005" s="1135">
        <v>43</v>
      </c>
      <c r="E2005" s="1135">
        <v>90</v>
      </c>
      <c r="F2005" s="1135">
        <v>97</v>
      </c>
      <c r="G2005" s="1135">
        <v>108</v>
      </c>
      <c r="H2005" s="1135">
        <v>120</v>
      </c>
      <c r="I2005" s="1135">
        <v>125</v>
      </c>
      <c r="J2005" s="1135">
        <v>118</v>
      </c>
      <c r="K2005" s="1135">
        <v>76</v>
      </c>
      <c r="L2005" s="1135">
        <v>41</v>
      </c>
      <c r="M2005" s="1135">
        <v>37</v>
      </c>
      <c r="N2005" s="1136">
        <v>27</v>
      </c>
      <c r="O2005" s="1145">
        <v>661</v>
      </c>
      <c r="P2005" s="323"/>
      <c r="Q2005" s="323"/>
      <c r="R2005" s="326"/>
      <c r="S2005" s="326"/>
      <c r="T2005" s="327"/>
      <c r="U2005" s="326"/>
      <c r="V2005" s="328"/>
      <c r="W2005" s="323"/>
      <c r="X2005" s="323"/>
      <c r="Y2005" s="323"/>
    </row>
    <row r="2006" spans="1:25" s="1130" customFormat="1" ht="13.2" hidden="1">
      <c r="A2006" s="1319" t="s">
        <v>980</v>
      </c>
      <c r="B2006" s="1140" t="s">
        <v>15</v>
      </c>
      <c r="C2006" s="1141">
        <v>24</v>
      </c>
      <c r="D2006" s="1142">
        <v>53</v>
      </c>
      <c r="E2006" s="1142">
        <v>116</v>
      </c>
      <c r="F2006" s="1142">
        <v>157</v>
      </c>
      <c r="G2006" s="1142">
        <v>199</v>
      </c>
      <c r="H2006" s="1142">
        <v>228</v>
      </c>
      <c r="I2006" s="1142">
        <v>221</v>
      </c>
      <c r="J2006" s="1142">
        <v>200</v>
      </c>
      <c r="K2006" s="1142">
        <v>105</v>
      </c>
      <c r="L2006" s="1142">
        <v>57</v>
      </c>
      <c r="M2006" s="1142">
        <v>39</v>
      </c>
      <c r="N2006" s="1143">
        <v>25</v>
      </c>
      <c r="O2006" s="1144">
        <v>1043</v>
      </c>
      <c r="P2006" s="323"/>
      <c r="Q2006" s="323"/>
      <c r="R2006" s="326"/>
      <c r="S2006" s="326"/>
      <c r="T2006" s="327"/>
      <c r="U2006" s="326"/>
      <c r="V2006" s="328"/>
      <c r="W2006" s="323"/>
      <c r="X2006" s="323"/>
      <c r="Y2006" s="323"/>
    </row>
    <row r="2007" spans="1:25" s="1130" customFormat="1" ht="13.2" hidden="1">
      <c r="A2007" s="1320"/>
      <c r="B2007" s="1140" t="s">
        <v>16</v>
      </c>
      <c r="C2007" s="1141">
        <v>23</v>
      </c>
      <c r="D2007" s="1142">
        <v>51</v>
      </c>
      <c r="E2007" s="1142">
        <v>112</v>
      </c>
      <c r="F2007" s="1142">
        <v>151</v>
      </c>
      <c r="G2007" s="1142">
        <v>190</v>
      </c>
      <c r="H2007" s="1142">
        <v>216</v>
      </c>
      <c r="I2007" s="1142">
        <v>209</v>
      </c>
      <c r="J2007" s="1142">
        <v>192</v>
      </c>
      <c r="K2007" s="1142">
        <v>98</v>
      </c>
      <c r="L2007" s="1142">
        <v>53</v>
      </c>
      <c r="M2007" s="1142">
        <v>38</v>
      </c>
      <c r="N2007" s="1143">
        <v>24</v>
      </c>
      <c r="O2007" s="1144">
        <v>995</v>
      </c>
      <c r="P2007" s="323"/>
      <c r="Q2007" s="323"/>
      <c r="R2007" s="326"/>
      <c r="S2007" s="326"/>
      <c r="T2007" s="327"/>
      <c r="U2007" s="326"/>
      <c r="V2007" s="328"/>
      <c r="W2007" s="323"/>
      <c r="X2007" s="323"/>
      <c r="Y2007" s="323"/>
    </row>
    <row r="2008" spans="1:25" s="1130" customFormat="1" ht="13.2" hidden="1">
      <c r="A2008" s="1320"/>
      <c r="B2008" s="1140" t="s">
        <v>17</v>
      </c>
      <c r="C2008" s="1141">
        <v>22</v>
      </c>
      <c r="D2008" s="1142">
        <v>48</v>
      </c>
      <c r="E2008" s="1142">
        <v>105</v>
      </c>
      <c r="F2008" s="1142">
        <v>141</v>
      </c>
      <c r="G2008" s="1142">
        <v>176</v>
      </c>
      <c r="H2008" s="1142">
        <v>199</v>
      </c>
      <c r="I2008" s="1142">
        <v>193</v>
      </c>
      <c r="J2008" s="1142">
        <v>179</v>
      </c>
      <c r="K2008" s="1142">
        <v>89</v>
      </c>
      <c r="L2008" s="1142">
        <v>48</v>
      </c>
      <c r="M2008" s="1142">
        <v>36</v>
      </c>
      <c r="N2008" s="1143">
        <v>23</v>
      </c>
      <c r="O2008" s="1144">
        <v>922</v>
      </c>
      <c r="P2008" s="323"/>
      <c r="Q2008" s="323"/>
      <c r="R2008" s="326"/>
      <c r="S2008" s="326"/>
      <c r="T2008" s="327"/>
      <c r="U2008" s="326"/>
      <c r="V2008" s="328"/>
      <c r="W2008" s="323"/>
      <c r="X2008" s="323"/>
      <c r="Y2008" s="323"/>
    </row>
    <row r="2009" spans="1:25" s="1130" customFormat="1" ht="13.2" hidden="1">
      <c r="A2009" s="1321"/>
      <c r="B2009" s="1137" t="s">
        <v>18</v>
      </c>
      <c r="C2009" s="1134">
        <v>17</v>
      </c>
      <c r="D2009" s="1135">
        <v>38</v>
      </c>
      <c r="E2009" s="1135">
        <v>83</v>
      </c>
      <c r="F2009" s="1135">
        <v>110</v>
      </c>
      <c r="G2009" s="1135">
        <v>136</v>
      </c>
      <c r="H2009" s="1135">
        <v>152</v>
      </c>
      <c r="I2009" s="1135">
        <v>149</v>
      </c>
      <c r="J2009" s="1135">
        <v>139</v>
      </c>
      <c r="K2009" s="1135">
        <v>68</v>
      </c>
      <c r="L2009" s="1135">
        <v>36</v>
      </c>
      <c r="M2009" s="1135">
        <v>29</v>
      </c>
      <c r="N2009" s="1136">
        <v>19</v>
      </c>
      <c r="O2009" s="1145">
        <v>715</v>
      </c>
      <c r="P2009" s="323"/>
      <c r="Q2009" s="323"/>
      <c r="R2009" s="326"/>
      <c r="S2009" s="326"/>
      <c r="T2009" s="327"/>
      <c r="U2009" s="326"/>
      <c r="V2009" s="328"/>
      <c r="W2009" s="323"/>
      <c r="X2009" s="323"/>
      <c r="Y2009" s="323"/>
    </row>
    <row r="2010" spans="1:25" s="1130" customFormat="1" ht="13.2" hidden="1">
      <c r="A2010" s="1319" t="s">
        <v>981</v>
      </c>
      <c r="B2010" s="1140" t="s">
        <v>15</v>
      </c>
      <c r="C2010" s="1141">
        <v>22</v>
      </c>
      <c r="D2010" s="1142">
        <v>47</v>
      </c>
      <c r="E2010" s="1142">
        <v>101</v>
      </c>
      <c r="F2010" s="1142">
        <v>134</v>
      </c>
      <c r="G2010" s="1142">
        <v>171</v>
      </c>
      <c r="H2010" s="1142">
        <v>197</v>
      </c>
      <c r="I2010" s="1142">
        <v>196</v>
      </c>
      <c r="J2010" s="1142">
        <v>171</v>
      </c>
      <c r="K2010" s="1142">
        <v>100</v>
      </c>
      <c r="L2010" s="1142">
        <v>53</v>
      </c>
      <c r="M2010" s="1142">
        <v>33</v>
      </c>
      <c r="N2010" s="1143">
        <v>21</v>
      </c>
      <c r="O2010" s="1144">
        <v>912</v>
      </c>
      <c r="P2010" s="323"/>
      <c r="Q2010" s="323"/>
      <c r="R2010" s="326"/>
      <c r="S2010" s="326"/>
      <c r="T2010" s="327"/>
      <c r="U2010" s="326"/>
      <c r="V2010" s="328"/>
      <c r="W2010" s="323"/>
      <c r="X2010" s="323"/>
      <c r="Y2010" s="323"/>
    </row>
    <row r="2011" spans="1:25" s="1130" customFormat="1" ht="13.2" hidden="1">
      <c r="A2011" s="1320"/>
      <c r="B2011" s="1140" t="s">
        <v>16</v>
      </c>
      <c r="C2011" s="1141">
        <v>20</v>
      </c>
      <c r="D2011" s="1142">
        <v>43</v>
      </c>
      <c r="E2011" s="1142">
        <v>93</v>
      </c>
      <c r="F2011" s="1142">
        <v>122</v>
      </c>
      <c r="G2011" s="1142">
        <v>155</v>
      </c>
      <c r="H2011" s="1142">
        <v>177</v>
      </c>
      <c r="I2011" s="1142">
        <v>179</v>
      </c>
      <c r="J2011" s="1142">
        <v>154</v>
      </c>
      <c r="K2011" s="1142">
        <v>92</v>
      </c>
      <c r="L2011" s="1142">
        <v>48</v>
      </c>
      <c r="M2011" s="1142">
        <v>30</v>
      </c>
      <c r="N2011" s="1143">
        <v>19</v>
      </c>
      <c r="O2011" s="1144">
        <v>830</v>
      </c>
      <c r="P2011" s="323"/>
      <c r="Q2011" s="323"/>
      <c r="R2011" s="326"/>
      <c r="S2011" s="326"/>
      <c r="T2011" s="327"/>
      <c r="U2011" s="326"/>
      <c r="V2011" s="328"/>
      <c r="W2011" s="323"/>
      <c r="X2011" s="323"/>
      <c r="Y2011" s="323"/>
    </row>
    <row r="2012" spans="1:25" s="1130" customFormat="1" ht="13.2" hidden="1">
      <c r="A2012" s="1320"/>
      <c r="B2012" s="1140" t="s">
        <v>17</v>
      </c>
      <c r="C2012" s="1141">
        <v>18</v>
      </c>
      <c r="D2012" s="1142">
        <v>39</v>
      </c>
      <c r="E2012" s="1142">
        <v>84</v>
      </c>
      <c r="F2012" s="1142">
        <v>109</v>
      </c>
      <c r="G2012" s="1142">
        <v>138</v>
      </c>
      <c r="H2012" s="1142">
        <v>157</v>
      </c>
      <c r="I2012" s="1142">
        <v>160</v>
      </c>
      <c r="J2012" s="1142">
        <v>138</v>
      </c>
      <c r="K2012" s="1142">
        <v>82</v>
      </c>
      <c r="L2012" s="1142">
        <v>43</v>
      </c>
      <c r="M2012" s="1142">
        <v>27</v>
      </c>
      <c r="N2012" s="1143">
        <v>17</v>
      </c>
      <c r="O2012" s="1144">
        <v>740</v>
      </c>
      <c r="P2012" s="323"/>
      <c r="Q2012" s="323"/>
      <c r="R2012" s="326"/>
      <c r="S2012" s="326"/>
      <c r="T2012" s="327"/>
      <c r="U2012" s="326"/>
      <c r="V2012" s="328"/>
      <c r="W2012" s="323"/>
      <c r="X2012" s="323"/>
      <c r="Y2012" s="323"/>
    </row>
    <row r="2013" spans="1:25" s="1130" customFormat="1" ht="13.2" hidden="1">
      <c r="A2013" s="1321"/>
      <c r="B2013" s="1137" t="s">
        <v>18</v>
      </c>
      <c r="C2013" s="1134">
        <v>13</v>
      </c>
      <c r="D2013" s="1135">
        <v>29</v>
      </c>
      <c r="E2013" s="1135">
        <v>63</v>
      </c>
      <c r="F2013" s="1135">
        <v>81</v>
      </c>
      <c r="G2013" s="1135">
        <v>101</v>
      </c>
      <c r="H2013" s="1135">
        <v>115</v>
      </c>
      <c r="I2013" s="1135">
        <v>118</v>
      </c>
      <c r="J2013" s="1135">
        <v>103</v>
      </c>
      <c r="K2013" s="1135">
        <v>60</v>
      </c>
      <c r="L2013" s="1135">
        <v>31</v>
      </c>
      <c r="M2013" s="1135">
        <v>20</v>
      </c>
      <c r="N2013" s="1136">
        <v>13</v>
      </c>
      <c r="O2013" s="1145">
        <v>548</v>
      </c>
      <c r="P2013" s="323"/>
      <c r="Q2013" s="323"/>
      <c r="R2013" s="326"/>
      <c r="S2013" s="326"/>
      <c r="T2013" s="327"/>
      <c r="U2013" s="326"/>
      <c r="V2013" s="328"/>
      <c r="W2013" s="323"/>
      <c r="X2013" s="323"/>
      <c r="Y2013" s="323"/>
    </row>
    <row r="2014" spans="1:25" s="1130" customFormat="1" ht="13.2" hidden="1">
      <c r="A2014" s="1319" t="s">
        <v>3361</v>
      </c>
      <c r="B2014" s="1140" t="s">
        <v>15</v>
      </c>
      <c r="C2014" s="1141">
        <v>18</v>
      </c>
      <c r="D2014" s="1142">
        <v>39</v>
      </c>
      <c r="E2014" s="1142">
        <v>79</v>
      </c>
      <c r="F2014" s="1142">
        <v>116</v>
      </c>
      <c r="G2014" s="1142">
        <v>160</v>
      </c>
      <c r="H2014" s="1142">
        <v>186</v>
      </c>
      <c r="I2014" s="1142">
        <v>182</v>
      </c>
      <c r="J2014" s="1142">
        <v>152</v>
      </c>
      <c r="K2014" s="1142">
        <v>86</v>
      </c>
      <c r="L2014" s="1142">
        <v>46</v>
      </c>
      <c r="M2014" s="1142">
        <v>25</v>
      </c>
      <c r="N2014" s="1143">
        <v>16</v>
      </c>
      <c r="O2014" s="1144">
        <v>810</v>
      </c>
      <c r="P2014" s="323"/>
      <c r="Q2014" s="323"/>
      <c r="R2014" s="326"/>
      <c r="S2014" s="326"/>
      <c r="T2014" s="327"/>
      <c r="U2014" s="326"/>
      <c r="V2014" s="328"/>
      <c r="W2014" s="323"/>
      <c r="X2014" s="323"/>
      <c r="Y2014" s="323"/>
    </row>
    <row r="2015" spans="1:25" s="1130" customFormat="1" ht="13.2" hidden="1">
      <c r="A2015" s="1320"/>
      <c r="B2015" s="1140" t="s">
        <v>16</v>
      </c>
      <c r="C2015" s="1141">
        <v>16</v>
      </c>
      <c r="D2015" s="1142">
        <v>34</v>
      </c>
      <c r="E2015" s="1142">
        <v>67</v>
      </c>
      <c r="F2015" s="1142">
        <v>98</v>
      </c>
      <c r="G2015" s="1142">
        <v>138</v>
      </c>
      <c r="H2015" s="1142">
        <v>159</v>
      </c>
      <c r="I2015" s="1142">
        <v>156</v>
      </c>
      <c r="J2015" s="1142">
        <v>128</v>
      </c>
      <c r="K2015" s="1142">
        <v>74</v>
      </c>
      <c r="L2015" s="1142">
        <v>41</v>
      </c>
      <c r="M2015" s="1142">
        <v>22</v>
      </c>
      <c r="N2015" s="1143">
        <v>14</v>
      </c>
      <c r="O2015" s="1144">
        <v>694</v>
      </c>
      <c r="P2015" s="323"/>
      <c r="Q2015" s="323"/>
      <c r="R2015" s="326"/>
      <c r="S2015" s="326"/>
      <c r="T2015" s="327"/>
      <c r="U2015" s="326"/>
      <c r="V2015" s="328"/>
      <c r="W2015" s="323"/>
      <c r="X2015" s="323"/>
      <c r="Y2015" s="323"/>
    </row>
    <row r="2016" spans="1:25" s="1130" customFormat="1" ht="13.2" hidden="1">
      <c r="A2016" s="1320"/>
      <c r="B2016" s="1140" t="s">
        <v>17</v>
      </c>
      <c r="C2016" s="1141">
        <v>14</v>
      </c>
      <c r="D2016" s="1142">
        <v>30</v>
      </c>
      <c r="E2016" s="1142">
        <v>58</v>
      </c>
      <c r="F2016" s="1142">
        <v>84</v>
      </c>
      <c r="G2016" s="1142">
        <v>119</v>
      </c>
      <c r="H2016" s="1142">
        <v>135</v>
      </c>
      <c r="I2016" s="1142">
        <v>134</v>
      </c>
      <c r="J2016" s="1142">
        <v>110</v>
      </c>
      <c r="K2016" s="1142">
        <v>63</v>
      </c>
      <c r="L2016" s="1142">
        <v>36</v>
      </c>
      <c r="M2016" s="1142">
        <v>20</v>
      </c>
      <c r="N2016" s="1143">
        <v>13</v>
      </c>
      <c r="O2016" s="1144">
        <v>598</v>
      </c>
      <c r="P2016" s="323"/>
      <c r="Q2016" s="323"/>
      <c r="R2016" s="326"/>
      <c r="S2016" s="326"/>
      <c r="T2016" s="327"/>
      <c r="U2016" s="326"/>
      <c r="V2016" s="328"/>
      <c r="W2016" s="323"/>
      <c r="X2016" s="323"/>
      <c r="Y2016" s="323"/>
    </row>
    <row r="2017" spans="1:25" s="1130" customFormat="1" ht="13.2" hidden="1">
      <c r="A2017" s="1321"/>
      <c r="B2017" s="1137" t="s">
        <v>18</v>
      </c>
      <c r="C2017" s="1134">
        <v>11</v>
      </c>
      <c r="D2017" s="1135">
        <v>22</v>
      </c>
      <c r="E2017" s="1135">
        <v>45</v>
      </c>
      <c r="F2017" s="1135">
        <v>63</v>
      </c>
      <c r="G2017" s="1135">
        <v>86</v>
      </c>
      <c r="H2017" s="1135">
        <v>98</v>
      </c>
      <c r="I2017" s="1135">
        <v>98</v>
      </c>
      <c r="J2017" s="1135">
        <v>82</v>
      </c>
      <c r="K2017" s="1135">
        <v>47</v>
      </c>
      <c r="L2017" s="1135">
        <v>26</v>
      </c>
      <c r="M2017" s="1135">
        <v>15</v>
      </c>
      <c r="N2017" s="1136">
        <v>10</v>
      </c>
      <c r="O2017" s="1145">
        <v>441</v>
      </c>
      <c r="P2017" s="323"/>
      <c r="Q2017" s="323"/>
      <c r="R2017" s="326"/>
      <c r="S2017" s="326"/>
      <c r="T2017" s="327"/>
      <c r="U2017" s="326"/>
      <c r="V2017" s="328"/>
      <c r="W2017" s="323"/>
      <c r="X2017" s="323"/>
      <c r="Y2017" s="323"/>
    </row>
    <row r="2018" spans="1:25" s="1130" customFormat="1" ht="13.2" hidden="1">
      <c r="A2018" s="1319" t="s">
        <v>3362</v>
      </c>
      <c r="B2018" s="1140" t="s">
        <v>15</v>
      </c>
      <c r="C2018" s="1141">
        <v>19</v>
      </c>
      <c r="D2018" s="1142">
        <v>41</v>
      </c>
      <c r="E2018" s="1142">
        <v>89</v>
      </c>
      <c r="F2018" s="1142">
        <v>133</v>
      </c>
      <c r="G2018" s="1142">
        <v>183</v>
      </c>
      <c r="H2018" s="1142">
        <v>211</v>
      </c>
      <c r="I2018" s="1142">
        <v>202</v>
      </c>
      <c r="J2018" s="1142">
        <v>175</v>
      </c>
      <c r="K2018" s="1142">
        <v>90</v>
      </c>
      <c r="L2018" s="1142">
        <v>48</v>
      </c>
      <c r="M2018" s="1142">
        <v>27</v>
      </c>
      <c r="N2018" s="1143">
        <v>16</v>
      </c>
      <c r="O2018" s="1144">
        <v>904</v>
      </c>
      <c r="P2018" s="323"/>
      <c r="Q2018" s="323"/>
      <c r="R2018" s="326"/>
      <c r="S2018" s="326"/>
      <c r="T2018" s="327"/>
      <c r="U2018" s="326"/>
      <c r="V2018" s="328"/>
      <c r="W2018" s="323"/>
      <c r="X2018" s="323"/>
      <c r="Y2018" s="323"/>
    </row>
    <row r="2019" spans="1:25" s="1130" customFormat="1" ht="13.2" hidden="1">
      <c r="A2019" s="1320"/>
      <c r="B2019" s="1140" t="s">
        <v>16</v>
      </c>
      <c r="C2019" s="1141">
        <v>17</v>
      </c>
      <c r="D2019" s="1142">
        <v>36</v>
      </c>
      <c r="E2019" s="1142">
        <v>77</v>
      </c>
      <c r="F2019" s="1142">
        <v>119</v>
      </c>
      <c r="G2019" s="1142">
        <v>166</v>
      </c>
      <c r="H2019" s="1142">
        <v>192</v>
      </c>
      <c r="I2019" s="1142">
        <v>182</v>
      </c>
      <c r="J2019" s="1142">
        <v>157</v>
      </c>
      <c r="K2019" s="1142">
        <v>78</v>
      </c>
      <c r="L2019" s="1142">
        <v>43</v>
      </c>
      <c r="M2019" s="1142">
        <v>23</v>
      </c>
      <c r="N2019" s="1143">
        <v>15</v>
      </c>
      <c r="O2019" s="1144">
        <v>809</v>
      </c>
      <c r="P2019" s="323"/>
      <c r="Q2019" s="323"/>
      <c r="R2019" s="326"/>
      <c r="S2019" s="326"/>
      <c r="T2019" s="327"/>
      <c r="U2019" s="326"/>
      <c r="V2019" s="328"/>
      <c r="W2019" s="323"/>
      <c r="X2019" s="323"/>
      <c r="Y2019" s="323"/>
    </row>
    <row r="2020" spans="1:25" s="1130" customFormat="1" ht="13.2" hidden="1">
      <c r="A2020" s="1320"/>
      <c r="B2020" s="1140" t="s">
        <v>17</v>
      </c>
      <c r="C2020" s="1141">
        <v>15</v>
      </c>
      <c r="D2020" s="1142">
        <v>32</v>
      </c>
      <c r="E2020" s="1142">
        <v>68</v>
      </c>
      <c r="F2020" s="1142">
        <v>105</v>
      </c>
      <c r="G2020" s="1142">
        <v>149</v>
      </c>
      <c r="H2020" s="1142">
        <v>170</v>
      </c>
      <c r="I2020" s="1142">
        <v>161</v>
      </c>
      <c r="J2020" s="1142">
        <v>139</v>
      </c>
      <c r="K2020" s="1142">
        <v>68</v>
      </c>
      <c r="L2020" s="1142">
        <v>38</v>
      </c>
      <c r="M2020" s="1142">
        <v>21</v>
      </c>
      <c r="N2020" s="1143">
        <v>13</v>
      </c>
      <c r="O2020" s="1144">
        <v>716</v>
      </c>
      <c r="P2020" s="323"/>
      <c r="Q2020" s="323"/>
      <c r="R2020" s="326"/>
      <c r="S2020" s="326"/>
      <c r="T2020" s="327"/>
      <c r="U2020" s="326"/>
      <c r="V2020" s="328"/>
      <c r="W2020" s="323"/>
      <c r="X2020" s="323"/>
      <c r="Y2020" s="323"/>
    </row>
    <row r="2021" spans="1:25" s="1130" customFormat="1" ht="13.2" hidden="1">
      <c r="A2021" s="1321"/>
      <c r="B2021" s="1137" t="s">
        <v>18</v>
      </c>
      <c r="C2021" s="1134">
        <v>11</v>
      </c>
      <c r="D2021" s="1135">
        <v>24</v>
      </c>
      <c r="E2021" s="1135">
        <v>52</v>
      </c>
      <c r="F2021" s="1135">
        <v>80</v>
      </c>
      <c r="G2021" s="1135">
        <v>112</v>
      </c>
      <c r="H2021" s="1135">
        <v>127</v>
      </c>
      <c r="I2021" s="1135">
        <v>121</v>
      </c>
      <c r="J2021" s="1135">
        <v>105</v>
      </c>
      <c r="K2021" s="1135">
        <v>51</v>
      </c>
      <c r="L2021" s="1135">
        <v>27</v>
      </c>
      <c r="M2021" s="1135">
        <v>16</v>
      </c>
      <c r="N2021" s="1136">
        <v>10</v>
      </c>
      <c r="O2021" s="1145">
        <v>541</v>
      </c>
      <c r="P2021" s="323"/>
      <c r="Q2021" s="323"/>
      <c r="R2021" s="326"/>
      <c r="S2021" s="326"/>
      <c r="T2021" s="327"/>
      <c r="U2021" s="326"/>
      <c r="V2021" s="328"/>
      <c r="W2021" s="323"/>
      <c r="X2021" s="323"/>
      <c r="Y2021" s="323"/>
    </row>
    <row r="2022" spans="1:25" s="1130" customFormat="1" ht="13.2" hidden="1">
      <c r="A2022" s="1319" t="s">
        <v>12</v>
      </c>
      <c r="B2022" s="1140" t="s">
        <v>15</v>
      </c>
      <c r="C2022" s="1141">
        <v>18</v>
      </c>
      <c r="D2022" s="1142">
        <v>35</v>
      </c>
      <c r="E2022" s="1142">
        <v>71</v>
      </c>
      <c r="F2022" s="1142">
        <v>115</v>
      </c>
      <c r="G2022" s="1142">
        <v>166</v>
      </c>
      <c r="H2022" s="1142">
        <v>194</v>
      </c>
      <c r="I2022" s="1142">
        <v>186</v>
      </c>
      <c r="J2022" s="1142">
        <v>154</v>
      </c>
      <c r="K2022" s="1142">
        <v>81</v>
      </c>
      <c r="L2022" s="1142">
        <v>44</v>
      </c>
      <c r="M2022" s="1142">
        <v>23</v>
      </c>
      <c r="N2022" s="1143">
        <v>15</v>
      </c>
      <c r="O2022" s="1144">
        <v>807</v>
      </c>
      <c r="P2022" s="323"/>
      <c r="Q2022" s="323"/>
      <c r="R2022" s="326"/>
      <c r="S2022" s="326"/>
      <c r="T2022" s="327"/>
      <c r="U2022" s="326"/>
      <c r="V2022" s="328"/>
      <c r="W2022" s="323"/>
      <c r="X2022" s="323"/>
      <c r="Y2022" s="323"/>
    </row>
    <row r="2023" spans="1:25" s="1130" customFormat="1" ht="13.2" hidden="1">
      <c r="A2023" s="1320"/>
      <c r="B2023" s="1140" t="s">
        <v>16</v>
      </c>
      <c r="C2023" s="1141">
        <v>16</v>
      </c>
      <c r="D2023" s="1142">
        <v>32</v>
      </c>
      <c r="E2023" s="1142">
        <v>56</v>
      </c>
      <c r="F2023" s="1142">
        <v>90</v>
      </c>
      <c r="G2023" s="1142">
        <v>141</v>
      </c>
      <c r="H2023" s="1142">
        <v>166</v>
      </c>
      <c r="I2023" s="1142">
        <v>157</v>
      </c>
      <c r="J2023" s="1142">
        <v>125</v>
      </c>
      <c r="K2023" s="1142">
        <v>64</v>
      </c>
      <c r="L2023" s="1142">
        <v>39</v>
      </c>
      <c r="M2023" s="1142">
        <v>21</v>
      </c>
      <c r="N2023" s="1143">
        <v>14</v>
      </c>
      <c r="O2023" s="1144">
        <v>674</v>
      </c>
      <c r="P2023" s="323"/>
      <c r="Q2023" s="323"/>
      <c r="R2023" s="326"/>
      <c r="S2023" s="326"/>
      <c r="T2023" s="327"/>
      <c r="U2023" s="326"/>
      <c r="V2023" s="328"/>
      <c r="W2023" s="323"/>
      <c r="X2023" s="323"/>
      <c r="Y2023" s="323"/>
    </row>
    <row r="2024" spans="1:25" s="1130" customFormat="1" ht="13.2" hidden="1">
      <c r="A2024" s="1320"/>
      <c r="B2024" s="1140" t="s">
        <v>17</v>
      </c>
      <c r="C2024" s="1141">
        <v>14</v>
      </c>
      <c r="D2024" s="1142">
        <v>29</v>
      </c>
      <c r="E2024" s="1142">
        <v>50</v>
      </c>
      <c r="F2024" s="1142">
        <v>73</v>
      </c>
      <c r="G2024" s="1142">
        <v>114</v>
      </c>
      <c r="H2024" s="1142">
        <v>134</v>
      </c>
      <c r="I2024" s="1142">
        <v>125</v>
      </c>
      <c r="J2024" s="1142">
        <v>99</v>
      </c>
      <c r="K2024" s="1142">
        <v>56</v>
      </c>
      <c r="L2024" s="1142">
        <v>35</v>
      </c>
      <c r="M2024" s="1142">
        <v>19</v>
      </c>
      <c r="N2024" s="1143">
        <v>12</v>
      </c>
      <c r="O2024" s="1144">
        <v>557</v>
      </c>
      <c r="P2024" s="323"/>
      <c r="Q2024" s="323"/>
      <c r="R2024" s="326"/>
      <c r="S2024" s="326"/>
      <c r="T2024" s="327"/>
      <c r="U2024" s="326"/>
      <c r="V2024" s="328"/>
      <c r="W2024" s="323"/>
      <c r="X2024" s="323"/>
      <c r="Y2024" s="323"/>
    </row>
    <row r="2025" spans="1:25" s="1130" customFormat="1" ht="13.2" hidden="1">
      <c r="A2025" s="1321"/>
      <c r="B2025" s="1137" t="s">
        <v>18</v>
      </c>
      <c r="C2025" s="1134">
        <v>11</v>
      </c>
      <c r="D2025" s="1135">
        <v>22</v>
      </c>
      <c r="E2025" s="1135">
        <v>41</v>
      </c>
      <c r="F2025" s="1135">
        <v>57</v>
      </c>
      <c r="G2025" s="1135">
        <v>83</v>
      </c>
      <c r="H2025" s="1135">
        <v>94</v>
      </c>
      <c r="I2025" s="1135">
        <v>90</v>
      </c>
      <c r="J2025" s="1135">
        <v>75</v>
      </c>
      <c r="K2025" s="1135">
        <v>43</v>
      </c>
      <c r="L2025" s="1135">
        <v>25</v>
      </c>
      <c r="M2025" s="1135">
        <v>15</v>
      </c>
      <c r="N2025" s="1136">
        <v>10</v>
      </c>
      <c r="O2025" s="1145">
        <v>414</v>
      </c>
      <c r="P2025" s="323"/>
      <c r="Q2025" s="323"/>
      <c r="R2025" s="326"/>
      <c r="S2025" s="326"/>
      <c r="T2025" s="327"/>
      <c r="U2025" s="326"/>
      <c r="V2025" s="328"/>
      <c r="W2025" s="323"/>
      <c r="X2025" s="323"/>
      <c r="Y2025" s="323"/>
    </row>
    <row r="2026" spans="1:25" s="1130" customFormat="1" ht="39.6" hidden="1">
      <c r="A2026" s="1146"/>
      <c r="B2026" s="1147"/>
      <c r="C2026" s="1375" t="s">
        <v>3363</v>
      </c>
      <c r="D2026" s="1376"/>
      <c r="E2026" s="1376"/>
      <c r="F2026" s="1376"/>
      <c r="G2026" s="1376"/>
      <c r="H2026" s="1376"/>
      <c r="I2026" s="1376"/>
      <c r="J2026" s="1376"/>
      <c r="K2026" s="1376"/>
      <c r="L2026" s="1376"/>
      <c r="M2026" s="1376"/>
      <c r="N2026" s="1377"/>
      <c r="O2026" s="1131" t="s">
        <v>3364</v>
      </c>
      <c r="P2026" s="323"/>
      <c r="Q2026" s="323"/>
      <c r="R2026" s="326"/>
      <c r="S2026" s="326"/>
      <c r="T2026" s="327"/>
      <c r="U2026" s="326"/>
      <c r="V2026" s="328"/>
      <c r="W2026" s="323"/>
      <c r="X2026" s="323"/>
      <c r="Y2026" s="323"/>
    </row>
    <row r="2027" spans="1:25" s="1130" customFormat="1" ht="12.75" hidden="1" customHeight="1">
      <c r="A2027" s="1148" t="s">
        <v>1894</v>
      </c>
      <c r="B2027" s="1149"/>
      <c r="C2027" s="1150">
        <v>-1.2</v>
      </c>
      <c r="D2027" s="1151">
        <v>-0.4</v>
      </c>
      <c r="E2027" s="1151">
        <v>2.8</v>
      </c>
      <c r="F2027" s="1151">
        <v>6.6</v>
      </c>
      <c r="G2027" s="1151">
        <v>11.7</v>
      </c>
      <c r="H2027" s="1151">
        <v>14.5</v>
      </c>
      <c r="I2027" s="1151">
        <v>16.3</v>
      </c>
      <c r="J2027" s="1151">
        <v>16.600000000000001</v>
      </c>
      <c r="K2027" s="1151">
        <v>12</v>
      </c>
      <c r="L2027" s="1151">
        <v>7.6</v>
      </c>
      <c r="M2027" s="1151">
        <v>2.2999999999999998</v>
      </c>
      <c r="N2027" s="1152">
        <v>-0.7</v>
      </c>
      <c r="O2027" s="1153">
        <v>7.4</v>
      </c>
      <c r="P2027" s="323"/>
      <c r="Q2027" s="323"/>
      <c r="R2027" s="326"/>
      <c r="S2027" s="326"/>
      <c r="T2027" s="327"/>
      <c r="U2027" s="326"/>
      <c r="V2027" s="328"/>
      <c r="W2027" s="323"/>
      <c r="X2027" s="323"/>
      <c r="Y2027" s="323"/>
    </row>
    <row r="2028" spans="1:25" s="1130" customFormat="1" ht="13.2" hidden="1">
      <c r="P2028" s="1155"/>
      <c r="Q2028" s="1129"/>
    </row>
    <row r="2029" spans="1:25" s="1130" customFormat="1" ht="13.2" hidden="1">
      <c r="P2029" s="1155"/>
      <c r="Q2029" s="1129"/>
    </row>
    <row r="2030" spans="1:25" s="1130" customFormat="1" ht="13.2" hidden="1">
      <c r="A2030" s="1129" t="s">
        <v>3383</v>
      </c>
      <c r="Q2030" s="1129"/>
    </row>
    <row r="2031" spans="1:25" s="1130" customFormat="1" ht="13.2" hidden="1">
      <c r="Q2031" s="1129"/>
    </row>
    <row r="2032" spans="1:25" s="1130" customFormat="1" ht="66" hidden="1">
      <c r="A2032" s="1314" t="s">
        <v>3384</v>
      </c>
      <c r="B2032" s="1315"/>
      <c r="C2032" s="1316" t="s">
        <v>3355</v>
      </c>
      <c r="D2032" s="1317"/>
      <c r="E2032" s="1317"/>
      <c r="F2032" s="1317"/>
      <c r="G2032" s="1317"/>
      <c r="H2032" s="1317"/>
      <c r="I2032" s="1317"/>
      <c r="J2032" s="1317"/>
      <c r="K2032" s="1317"/>
      <c r="L2032" s="1317"/>
      <c r="M2032" s="1317"/>
      <c r="N2032" s="1318"/>
      <c r="O2032" s="1131" t="s">
        <v>3356</v>
      </c>
      <c r="P2032" s="323"/>
      <c r="Q2032" s="1156">
        <v>11</v>
      </c>
      <c r="R2032" s="326"/>
      <c r="S2032" s="326"/>
      <c r="T2032" s="327"/>
      <c r="U2032" s="326"/>
      <c r="V2032" s="328"/>
      <c r="W2032" s="323"/>
      <c r="X2032" s="323"/>
      <c r="Y2032" s="323"/>
    </row>
    <row r="2033" spans="1:25" s="1130" customFormat="1" ht="13.2" hidden="1">
      <c r="A2033" s="1132" t="s">
        <v>77</v>
      </c>
      <c r="B2033" s="1133" t="s">
        <v>1795</v>
      </c>
      <c r="C2033" s="1134" t="s">
        <v>116</v>
      </c>
      <c r="D2033" s="1135" t="s">
        <v>117</v>
      </c>
      <c r="E2033" s="1135" t="s">
        <v>118</v>
      </c>
      <c r="F2033" s="1135" t="s">
        <v>119</v>
      </c>
      <c r="G2033" s="1135" t="s">
        <v>120</v>
      </c>
      <c r="H2033" s="1135" t="s">
        <v>121</v>
      </c>
      <c r="I2033" s="1135" t="s">
        <v>122</v>
      </c>
      <c r="J2033" s="1135" t="s">
        <v>123</v>
      </c>
      <c r="K2033" s="1135" t="s">
        <v>124</v>
      </c>
      <c r="L2033" s="1135" t="s">
        <v>125</v>
      </c>
      <c r="M2033" s="1135" t="s">
        <v>126</v>
      </c>
      <c r="N2033" s="1136" t="s">
        <v>127</v>
      </c>
      <c r="O2033" s="1137" t="s">
        <v>3357</v>
      </c>
      <c r="P2033" s="323"/>
      <c r="Q2033" s="323"/>
      <c r="R2033" s="326"/>
      <c r="S2033" s="326"/>
      <c r="T2033" s="327"/>
      <c r="U2033" s="326"/>
      <c r="V2033" s="328"/>
      <c r="W2033" s="323"/>
      <c r="X2033" s="323"/>
      <c r="Y2033" s="323"/>
    </row>
    <row r="2034" spans="1:25" s="1130" customFormat="1" ht="13.2" hidden="1">
      <c r="A2034" s="1138" t="s">
        <v>3358</v>
      </c>
      <c r="B2034" s="1137" t="s">
        <v>14</v>
      </c>
      <c r="C2034" s="1134">
        <v>32</v>
      </c>
      <c r="D2034" s="1135">
        <v>64</v>
      </c>
      <c r="E2034" s="1135">
        <v>107</v>
      </c>
      <c r="F2034" s="1135">
        <v>147</v>
      </c>
      <c r="G2034" s="1135">
        <v>201</v>
      </c>
      <c r="H2034" s="1135">
        <v>183</v>
      </c>
      <c r="I2034" s="1135">
        <v>197</v>
      </c>
      <c r="J2034" s="1135">
        <v>185</v>
      </c>
      <c r="K2034" s="1135">
        <v>105</v>
      </c>
      <c r="L2034" s="1135">
        <v>70</v>
      </c>
      <c r="M2034" s="1135">
        <v>31</v>
      </c>
      <c r="N2034" s="1136">
        <v>22</v>
      </c>
      <c r="O2034" s="1139">
        <v>983</v>
      </c>
      <c r="P2034" s="323"/>
      <c r="Q2034" s="323"/>
      <c r="R2034" s="326"/>
      <c r="S2034" s="326"/>
      <c r="T2034" s="327"/>
      <c r="U2034" s="326"/>
      <c r="V2034" s="328"/>
      <c r="W2034" s="323"/>
      <c r="X2034" s="323"/>
      <c r="Y2034" s="323"/>
    </row>
    <row r="2035" spans="1:25" s="1130" customFormat="1" ht="13.2" hidden="1">
      <c r="A2035" s="1319" t="s">
        <v>11</v>
      </c>
      <c r="B2035" s="1140" t="s">
        <v>15</v>
      </c>
      <c r="C2035" s="1141">
        <v>52</v>
      </c>
      <c r="D2035" s="1142">
        <v>90</v>
      </c>
      <c r="E2035" s="1142">
        <v>136</v>
      </c>
      <c r="F2035" s="1142">
        <v>160</v>
      </c>
      <c r="G2035" s="1142">
        <v>206</v>
      </c>
      <c r="H2035" s="1142">
        <v>179</v>
      </c>
      <c r="I2035" s="1142">
        <v>194</v>
      </c>
      <c r="J2035" s="1142">
        <v>199</v>
      </c>
      <c r="K2035" s="1142">
        <v>119</v>
      </c>
      <c r="L2035" s="1142">
        <v>94</v>
      </c>
      <c r="M2035" s="1142">
        <v>40</v>
      </c>
      <c r="N2035" s="1143">
        <v>32</v>
      </c>
      <c r="O2035" s="1144">
        <v>1099</v>
      </c>
      <c r="P2035" s="323"/>
      <c r="Q2035" s="323"/>
      <c r="R2035" s="326"/>
      <c r="S2035" s="326"/>
      <c r="T2035" s="327"/>
      <c r="U2035" s="326"/>
      <c r="V2035" s="328"/>
      <c r="W2035" s="323"/>
      <c r="X2035" s="323"/>
      <c r="Y2035" s="323"/>
    </row>
    <row r="2036" spans="1:25" s="1130" customFormat="1" ht="13.2" hidden="1">
      <c r="A2036" s="1320"/>
      <c r="B2036" s="1140" t="s">
        <v>16</v>
      </c>
      <c r="C2036" s="1141">
        <v>59</v>
      </c>
      <c r="D2036" s="1142">
        <v>96</v>
      </c>
      <c r="E2036" s="1142">
        <v>142</v>
      </c>
      <c r="F2036" s="1142">
        <v>156</v>
      </c>
      <c r="G2036" s="1142">
        <v>194</v>
      </c>
      <c r="H2036" s="1142">
        <v>165</v>
      </c>
      <c r="I2036" s="1142">
        <v>180</v>
      </c>
      <c r="J2036" s="1142">
        <v>191</v>
      </c>
      <c r="K2036" s="1142">
        <v>118</v>
      </c>
      <c r="L2036" s="1142">
        <v>99</v>
      </c>
      <c r="M2036" s="1142">
        <v>42</v>
      </c>
      <c r="N2036" s="1143">
        <v>35</v>
      </c>
      <c r="O2036" s="1144">
        <v>1080</v>
      </c>
      <c r="P2036" s="323"/>
      <c r="Q2036" s="323"/>
      <c r="R2036" s="326"/>
      <c r="S2036" s="326"/>
      <c r="T2036" s="327"/>
      <c r="U2036" s="326"/>
      <c r="V2036" s="328"/>
      <c r="W2036" s="323"/>
      <c r="X2036" s="323"/>
      <c r="Y2036" s="323"/>
    </row>
    <row r="2037" spans="1:25" s="1130" customFormat="1" ht="13.2" hidden="1">
      <c r="A2037" s="1320"/>
      <c r="B2037" s="1140" t="s">
        <v>17</v>
      </c>
      <c r="C2037" s="1141">
        <v>63</v>
      </c>
      <c r="D2037" s="1142">
        <v>98</v>
      </c>
      <c r="E2037" s="1142">
        <v>140</v>
      </c>
      <c r="F2037" s="1142">
        <v>145</v>
      </c>
      <c r="G2037" s="1142">
        <v>173</v>
      </c>
      <c r="H2037" s="1142">
        <v>145</v>
      </c>
      <c r="I2037" s="1142">
        <v>159</v>
      </c>
      <c r="J2037" s="1142">
        <v>174</v>
      </c>
      <c r="K2037" s="1142">
        <v>112</v>
      </c>
      <c r="L2037" s="1142">
        <v>98</v>
      </c>
      <c r="M2037" s="1142">
        <v>42</v>
      </c>
      <c r="N2037" s="1143">
        <v>36</v>
      </c>
      <c r="O2037" s="1144">
        <v>1013</v>
      </c>
      <c r="P2037" s="323"/>
      <c r="Q2037" s="323"/>
      <c r="R2037" s="326"/>
      <c r="S2037" s="326"/>
      <c r="T2037" s="327"/>
      <c r="U2037" s="326"/>
      <c r="V2037" s="328"/>
      <c r="W2037" s="323"/>
      <c r="X2037" s="323"/>
      <c r="Y2037" s="323"/>
    </row>
    <row r="2038" spans="1:25" s="1130" customFormat="1" ht="13.2" hidden="1">
      <c r="A2038" s="1321"/>
      <c r="B2038" s="1137" t="s">
        <v>18</v>
      </c>
      <c r="C2038" s="1134">
        <v>60</v>
      </c>
      <c r="D2038" s="1135">
        <v>87</v>
      </c>
      <c r="E2038" s="1135">
        <v>115</v>
      </c>
      <c r="F2038" s="1135">
        <v>106</v>
      </c>
      <c r="G2038" s="1135">
        <v>114</v>
      </c>
      <c r="H2038" s="1135">
        <v>95</v>
      </c>
      <c r="I2038" s="1135">
        <v>106</v>
      </c>
      <c r="J2038" s="1135">
        <v>120</v>
      </c>
      <c r="K2038" s="1135">
        <v>86</v>
      </c>
      <c r="L2038" s="1135">
        <v>83</v>
      </c>
      <c r="M2038" s="1135">
        <v>36</v>
      </c>
      <c r="N2038" s="1136">
        <v>33</v>
      </c>
      <c r="O2038" s="1145">
        <v>760</v>
      </c>
      <c r="P2038" s="323"/>
      <c r="Q2038" s="323"/>
      <c r="R2038" s="326"/>
      <c r="S2038" s="326"/>
      <c r="T2038" s="327"/>
      <c r="U2038" s="326"/>
      <c r="V2038" s="328"/>
      <c r="W2038" s="323"/>
      <c r="X2038" s="323"/>
      <c r="Y2038" s="323"/>
    </row>
    <row r="2039" spans="1:25" s="1130" customFormat="1" ht="13.2" hidden="1">
      <c r="A2039" s="1319" t="s">
        <v>3359</v>
      </c>
      <c r="B2039" s="1140" t="s">
        <v>15</v>
      </c>
      <c r="C2039" s="1141">
        <v>49</v>
      </c>
      <c r="D2039" s="1142">
        <v>86</v>
      </c>
      <c r="E2039" s="1142">
        <v>130</v>
      </c>
      <c r="F2039" s="1142">
        <v>162</v>
      </c>
      <c r="G2039" s="1142">
        <v>206</v>
      </c>
      <c r="H2039" s="1142">
        <v>179</v>
      </c>
      <c r="I2039" s="1142">
        <v>201</v>
      </c>
      <c r="J2039" s="1142">
        <v>199</v>
      </c>
      <c r="K2039" s="1142">
        <v>118</v>
      </c>
      <c r="L2039" s="1142">
        <v>84</v>
      </c>
      <c r="M2039" s="1142">
        <v>36</v>
      </c>
      <c r="N2039" s="1143">
        <v>30</v>
      </c>
      <c r="O2039" s="1144">
        <v>1082</v>
      </c>
      <c r="P2039" s="323"/>
      <c r="Q2039" s="323"/>
      <c r="R2039" s="326"/>
      <c r="S2039" s="326"/>
      <c r="T2039" s="327"/>
      <c r="U2039" s="326"/>
      <c r="V2039" s="328"/>
      <c r="W2039" s="323"/>
      <c r="X2039" s="323"/>
      <c r="Y2039" s="323"/>
    </row>
    <row r="2040" spans="1:25" s="1130" customFormat="1" ht="13.2" hidden="1">
      <c r="A2040" s="1320"/>
      <c r="B2040" s="1140" t="s">
        <v>16</v>
      </c>
      <c r="C2040" s="1141">
        <v>55</v>
      </c>
      <c r="D2040" s="1142">
        <v>92</v>
      </c>
      <c r="E2040" s="1142">
        <v>133</v>
      </c>
      <c r="F2040" s="1142">
        <v>158</v>
      </c>
      <c r="G2040" s="1142">
        <v>196</v>
      </c>
      <c r="H2040" s="1142">
        <v>166</v>
      </c>
      <c r="I2040" s="1142">
        <v>191</v>
      </c>
      <c r="J2040" s="1142">
        <v>193</v>
      </c>
      <c r="K2040" s="1142">
        <v>117</v>
      </c>
      <c r="L2040" s="1142">
        <v>85</v>
      </c>
      <c r="M2040" s="1142">
        <v>36</v>
      </c>
      <c r="N2040" s="1143">
        <v>31</v>
      </c>
      <c r="O2040" s="1144">
        <v>1062</v>
      </c>
      <c r="P2040" s="323"/>
      <c r="Q2040" s="323"/>
      <c r="R2040" s="326"/>
      <c r="S2040" s="326"/>
      <c r="T2040" s="327"/>
      <c r="U2040" s="326"/>
      <c r="V2040" s="328"/>
      <c r="W2040" s="323"/>
      <c r="X2040" s="323"/>
      <c r="Y2040" s="323"/>
    </row>
    <row r="2041" spans="1:25" s="1130" customFormat="1" ht="13.2" hidden="1">
      <c r="A2041" s="1320"/>
      <c r="B2041" s="1140" t="s">
        <v>17</v>
      </c>
      <c r="C2041" s="1141">
        <v>57</v>
      </c>
      <c r="D2041" s="1142">
        <v>92</v>
      </c>
      <c r="E2041" s="1142">
        <v>129</v>
      </c>
      <c r="F2041" s="1142">
        <v>148</v>
      </c>
      <c r="G2041" s="1142">
        <v>179</v>
      </c>
      <c r="H2041" s="1142">
        <v>148</v>
      </c>
      <c r="I2041" s="1142">
        <v>174</v>
      </c>
      <c r="J2041" s="1142">
        <v>179</v>
      </c>
      <c r="K2041" s="1142">
        <v>111</v>
      </c>
      <c r="L2041" s="1142">
        <v>82</v>
      </c>
      <c r="M2041" s="1142">
        <v>35</v>
      </c>
      <c r="N2041" s="1143">
        <v>32</v>
      </c>
      <c r="O2041" s="1144">
        <v>999</v>
      </c>
      <c r="P2041" s="323"/>
      <c r="Q2041" s="323"/>
      <c r="R2041" s="326"/>
      <c r="S2041" s="326"/>
      <c r="T2041" s="327"/>
      <c r="U2041" s="326"/>
      <c r="V2041" s="328"/>
      <c r="W2041" s="323"/>
      <c r="X2041" s="323"/>
      <c r="Y2041" s="323"/>
    </row>
    <row r="2042" spans="1:25" s="1130" customFormat="1" ht="13.2" hidden="1">
      <c r="A2042" s="1321"/>
      <c r="B2042" s="1137" t="s">
        <v>18</v>
      </c>
      <c r="C2042" s="1134">
        <v>54</v>
      </c>
      <c r="D2042" s="1135">
        <v>80</v>
      </c>
      <c r="E2042" s="1135">
        <v>105</v>
      </c>
      <c r="F2042" s="1135">
        <v>113</v>
      </c>
      <c r="G2042" s="1135">
        <v>128</v>
      </c>
      <c r="H2042" s="1135">
        <v>103</v>
      </c>
      <c r="I2042" s="1135">
        <v>127</v>
      </c>
      <c r="J2042" s="1135">
        <v>133</v>
      </c>
      <c r="K2042" s="1135">
        <v>87</v>
      </c>
      <c r="L2042" s="1135">
        <v>66</v>
      </c>
      <c r="M2042" s="1135">
        <v>28</v>
      </c>
      <c r="N2042" s="1136">
        <v>28</v>
      </c>
      <c r="O2042" s="1145">
        <v>770</v>
      </c>
      <c r="P2042" s="323"/>
      <c r="Q2042" s="323"/>
      <c r="R2042" s="326"/>
      <c r="S2042" s="326"/>
      <c r="T2042" s="327"/>
      <c r="U2042" s="326"/>
      <c r="V2042" s="328"/>
      <c r="W2042" s="323"/>
      <c r="X2042" s="323"/>
      <c r="Y2042" s="323"/>
    </row>
    <row r="2043" spans="1:25" s="1130" customFormat="1" ht="13.2" hidden="1">
      <c r="A2043" s="1319" t="s">
        <v>3360</v>
      </c>
      <c r="B2043" s="1140" t="s">
        <v>15</v>
      </c>
      <c r="C2043" s="1141">
        <v>42</v>
      </c>
      <c r="D2043" s="1142">
        <v>76</v>
      </c>
      <c r="E2043" s="1142">
        <v>122</v>
      </c>
      <c r="F2043" s="1142">
        <v>147</v>
      </c>
      <c r="G2043" s="1142">
        <v>198</v>
      </c>
      <c r="H2043" s="1142">
        <v>174</v>
      </c>
      <c r="I2043" s="1142">
        <v>184</v>
      </c>
      <c r="J2043" s="1142">
        <v>186</v>
      </c>
      <c r="K2043" s="1142">
        <v>109</v>
      </c>
      <c r="L2043" s="1142">
        <v>88</v>
      </c>
      <c r="M2043" s="1142">
        <v>38</v>
      </c>
      <c r="N2043" s="1143">
        <v>28</v>
      </c>
      <c r="O2043" s="1144">
        <v>1018</v>
      </c>
      <c r="P2043" s="323"/>
      <c r="Q2043" s="323"/>
      <c r="R2043" s="326"/>
      <c r="S2043" s="326"/>
      <c r="T2043" s="327"/>
      <c r="U2043" s="326"/>
      <c r="V2043" s="328"/>
      <c r="W2043" s="323"/>
      <c r="X2043" s="323"/>
      <c r="Y2043" s="323"/>
    </row>
    <row r="2044" spans="1:25" s="1130" customFormat="1" ht="13.2" hidden="1">
      <c r="A2044" s="1320"/>
      <c r="B2044" s="1140" t="s">
        <v>16</v>
      </c>
      <c r="C2044" s="1141">
        <v>44</v>
      </c>
      <c r="D2044" s="1142">
        <v>77</v>
      </c>
      <c r="E2044" s="1142">
        <v>121</v>
      </c>
      <c r="F2044" s="1142">
        <v>140</v>
      </c>
      <c r="G2044" s="1142">
        <v>185</v>
      </c>
      <c r="H2044" s="1142">
        <v>161</v>
      </c>
      <c r="I2044" s="1142">
        <v>169</v>
      </c>
      <c r="J2044" s="1142">
        <v>177</v>
      </c>
      <c r="K2044" s="1142">
        <v>105</v>
      </c>
      <c r="L2044" s="1142">
        <v>91</v>
      </c>
      <c r="M2044" s="1142">
        <v>39</v>
      </c>
      <c r="N2044" s="1143">
        <v>28</v>
      </c>
      <c r="O2044" s="1144">
        <v>979</v>
      </c>
      <c r="P2044" s="323"/>
      <c r="Q2044" s="323"/>
      <c r="R2044" s="326"/>
      <c r="S2044" s="326"/>
      <c r="T2044" s="327"/>
      <c r="U2044" s="326"/>
      <c r="V2044" s="328"/>
      <c r="W2044" s="323"/>
      <c r="X2044" s="323"/>
      <c r="Y2044" s="323"/>
    </row>
    <row r="2045" spans="1:25" s="1130" customFormat="1" ht="13.2" hidden="1">
      <c r="A2045" s="1320"/>
      <c r="B2045" s="1140" t="s">
        <v>17</v>
      </c>
      <c r="C2045" s="1141">
        <v>44</v>
      </c>
      <c r="D2045" s="1142">
        <v>75</v>
      </c>
      <c r="E2045" s="1142">
        <v>117</v>
      </c>
      <c r="F2045" s="1142">
        <v>127</v>
      </c>
      <c r="G2045" s="1142">
        <v>167</v>
      </c>
      <c r="H2045" s="1142">
        <v>142</v>
      </c>
      <c r="I2045" s="1142">
        <v>151</v>
      </c>
      <c r="J2045" s="1142">
        <v>162</v>
      </c>
      <c r="K2045" s="1142">
        <v>97</v>
      </c>
      <c r="L2045" s="1142">
        <v>89</v>
      </c>
      <c r="M2045" s="1142">
        <v>38</v>
      </c>
      <c r="N2045" s="1143">
        <v>28</v>
      </c>
      <c r="O2045" s="1144">
        <v>905</v>
      </c>
      <c r="P2045" s="323"/>
      <c r="Q2045" s="323"/>
      <c r="R2045" s="326"/>
      <c r="S2045" s="326"/>
      <c r="T2045" s="327"/>
      <c r="U2045" s="326"/>
      <c r="V2045" s="328"/>
      <c r="W2045" s="323"/>
      <c r="X2045" s="323"/>
      <c r="Y2045" s="323"/>
    </row>
    <row r="2046" spans="1:25" s="1130" customFormat="1" ht="13.2" hidden="1">
      <c r="A2046" s="1321"/>
      <c r="B2046" s="1137" t="s">
        <v>18</v>
      </c>
      <c r="C2046" s="1134">
        <v>39</v>
      </c>
      <c r="D2046" s="1135">
        <v>61</v>
      </c>
      <c r="E2046" s="1135">
        <v>92</v>
      </c>
      <c r="F2046" s="1135">
        <v>92</v>
      </c>
      <c r="G2046" s="1135">
        <v>119</v>
      </c>
      <c r="H2046" s="1135">
        <v>98</v>
      </c>
      <c r="I2046" s="1135">
        <v>107</v>
      </c>
      <c r="J2046" s="1135">
        <v>117</v>
      </c>
      <c r="K2046" s="1135">
        <v>73</v>
      </c>
      <c r="L2046" s="1135">
        <v>73</v>
      </c>
      <c r="M2046" s="1135">
        <v>32</v>
      </c>
      <c r="N2046" s="1136">
        <v>24</v>
      </c>
      <c r="O2046" s="1145">
        <v>678</v>
      </c>
      <c r="P2046" s="323"/>
      <c r="Q2046" s="323"/>
      <c r="R2046" s="326"/>
      <c r="S2046" s="326"/>
      <c r="T2046" s="327"/>
      <c r="U2046" s="326"/>
      <c r="V2046" s="328"/>
      <c r="W2046" s="323"/>
      <c r="X2046" s="323"/>
      <c r="Y2046" s="323"/>
    </row>
    <row r="2047" spans="1:25" s="1130" customFormat="1" ht="13.2" hidden="1">
      <c r="A2047" s="1319" t="s">
        <v>980</v>
      </c>
      <c r="B2047" s="1140" t="s">
        <v>15</v>
      </c>
      <c r="C2047" s="1141">
        <v>35</v>
      </c>
      <c r="D2047" s="1142">
        <v>67</v>
      </c>
      <c r="E2047" s="1142">
        <v>105</v>
      </c>
      <c r="F2047" s="1142">
        <v>148</v>
      </c>
      <c r="G2047" s="1142">
        <v>194</v>
      </c>
      <c r="H2047" s="1142">
        <v>172</v>
      </c>
      <c r="I2047" s="1142">
        <v>198</v>
      </c>
      <c r="J2047" s="1142">
        <v>182</v>
      </c>
      <c r="K2047" s="1142">
        <v>105</v>
      </c>
      <c r="L2047" s="1142">
        <v>65</v>
      </c>
      <c r="M2047" s="1142">
        <v>29</v>
      </c>
      <c r="N2047" s="1143">
        <v>22</v>
      </c>
      <c r="O2047" s="1144">
        <v>967</v>
      </c>
      <c r="P2047" s="323"/>
      <c r="Q2047" s="323"/>
      <c r="R2047" s="326"/>
      <c r="S2047" s="326"/>
      <c r="T2047" s="327"/>
      <c r="U2047" s="326"/>
      <c r="V2047" s="328"/>
      <c r="W2047" s="323"/>
      <c r="X2047" s="323"/>
      <c r="Y2047" s="323"/>
    </row>
    <row r="2048" spans="1:25" s="1130" customFormat="1" ht="13.2" hidden="1">
      <c r="A2048" s="1320"/>
      <c r="B2048" s="1140" t="s">
        <v>16</v>
      </c>
      <c r="C2048" s="1141">
        <v>35</v>
      </c>
      <c r="D2048" s="1142">
        <v>66</v>
      </c>
      <c r="E2048" s="1142">
        <v>101</v>
      </c>
      <c r="F2048" s="1142">
        <v>141</v>
      </c>
      <c r="G2048" s="1142">
        <v>182</v>
      </c>
      <c r="H2048" s="1142">
        <v>158</v>
      </c>
      <c r="I2048" s="1142">
        <v>188</v>
      </c>
      <c r="J2048" s="1142">
        <v>173</v>
      </c>
      <c r="K2048" s="1142">
        <v>100</v>
      </c>
      <c r="L2048" s="1142">
        <v>61</v>
      </c>
      <c r="M2048" s="1142">
        <v>26</v>
      </c>
      <c r="N2048" s="1143">
        <v>21</v>
      </c>
      <c r="O2048" s="1144">
        <v>916</v>
      </c>
      <c r="P2048" s="323"/>
      <c r="Q2048" s="323"/>
      <c r="R2048" s="326"/>
      <c r="S2048" s="326"/>
      <c r="T2048" s="327"/>
      <c r="U2048" s="326"/>
      <c r="V2048" s="328"/>
      <c r="W2048" s="323"/>
      <c r="X2048" s="323"/>
      <c r="Y2048" s="323"/>
    </row>
    <row r="2049" spans="1:25" s="1130" customFormat="1" ht="13.2" hidden="1">
      <c r="A2049" s="1320"/>
      <c r="B2049" s="1140" t="s">
        <v>17</v>
      </c>
      <c r="C2049" s="1141">
        <v>34</v>
      </c>
      <c r="D2049" s="1142">
        <v>63</v>
      </c>
      <c r="E2049" s="1142">
        <v>94</v>
      </c>
      <c r="F2049" s="1142">
        <v>130</v>
      </c>
      <c r="G2049" s="1142">
        <v>166</v>
      </c>
      <c r="H2049" s="1142">
        <v>141</v>
      </c>
      <c r="I2049" s="1142">
        <v>174</v>
      </c>
      <c r="J2049" s="1142">
        <v>160</v>
      </c>
      <c r="K2049" s="1142">
        <v>92</v>
      </c>
      <c r="L2049" s="1142">
        <v>56</v>
      </c>
      <c r="M2049" s="1142">
        <v>23</v>
      </c>
      <c r="N2049" s="1143">
        <v>20</v>
      </c>
      <c r="O2049" s="1144">
        <v>844</v>
      </c>
      <c r="P2049" s="323"/>
      <c r="Q2049" s="323"/>
      <c r="R2049" s="326"/>
      <c r="S2049" s="326"/>
      <c r="T2049" s="327"/>
      <c r="U2049" s="326"/>
      <c r="V2049" s="328"/>
      <c r="W2049" s="323"/>
      <c r="X2049" s="323"/>
      <c r="Y2049" s="323"/>
    </row>
    <row r="2050" spans="1:25" s="1130" customFormat="1" ht="13.2" hidden="1">
      <c r="A2050" s="1321"/>
      <c r="B2050" s="1137" t="s">
        <v>18</v>
      </c>
      <c r="C2050" s="1134">
        <v>29</v>
      </c>
      <c r="D2050" s="1135">
        <v>52</v>
      </c>
      <c r="E2050" s="1135">
        <v>75</v>
      </c>
      <c r="F2050" s="1135">
        <v>100</v>
      </c>
      <c r="G2050" s="1135">
        <v>127</v>
      </c>
      <c r="H2050" s="1135">
        <v>102</v>
      </c>
      <c r="I2050" s="1135">
        <v>134</v>
      </c>
      <c r="J2050" s="1135">
        <v>124</v>
      </c>
      <c r="K2050" s="1135">
        <v>72</v>
      </c>
      <c r="L2050" s="1135">
        <v>43</v>
      </c>
      <c r="M2050" s="1135">
        <v>17</v>
      </c>
      <c r="N2050" s="1136">
        <v>16</v>
      </c>
      <c r="O2050" s="1145">
        <v>651</v>
      </c>
      <c r="P2050" s="323"/>
      <c r="Q2050" s="323"/>
      <c r="R2050" s="326"/>
      <c r="S2050" s="326"/>
      <c r="T2050" s="327"/>
      <c r="U2050" s="326"/>
      <c r="V2050" s="328"/>
      <c r="W2050" s="323"/>
      <c r="X2050" s="323"/>
      <c r="Y2050" s="323"/>
    </row>
    <row r="2051" spans="1:25" s="1130" customFormat="1" ht="13.2" hidden="1">
      <c r="A2051" s="1319" t="s">
        <v>981</v>
      </c>
      <c r="B2051" s="1140" t="s">
        <v>15</v>
      </c>
      <c r="C2051" s="1141">
        <v>28</v>
      </c>
      <c r="D2051" s="1142">
        <v>55</v>
      </c>
      <c r="E2051" s="1142">
        <v>95</v>
      </c>
      <c r="F2051" s="1142">
        <v>128</v>
      </c>
      <c r="G2051" s="1142">
        <v>181</v>
      </c>
      <c r="H2051" s="1142">
        <v>166</v>
      </c>
      <c r="I2051" s="1142">
        <v>172</v>
      </c>
      <c r="J2051" s="1142">
        <v>165</v>
      </c>
      <c r="K2051" s="1142">
        <v>93</v>
      </c>
      <c r="L2051" s="1142">
        <v>70</v>
      </c>
      <c r="M2051" s="1142">
        <v>31</v>
      </c>
      <c r="N2051" s="1143">
        <v>20</v>
      </c>
      <c r="O2051" s="1144">
        <v>882</v>
      </c>
      <c r="P2051" s="323"/>
      <c r="Q2051" s="323"/>
      <c r="R2051" s="326"/>
      <c r="S2051" s="326"/>
      <c r="T2051" s="327"/>
      <c r="U2051" s="326"/>
      <c r="V2051" s="328"/>
      <c r="W2051" s="323"/>
      <c r="X2051" s="323"/>
      <c r="Y2051" s="323"/>
    </row>
    <row r="2052" spans="1:25" s="1130" customFormat="1" ht="13.2" hidden="1">
      <c r="A2052" s="1320"/>
      <c r="B2052" s="1140" t="s">
        <v>16</v>
      </c>
      <c r="C2052" s="1141">
        <v>26</v>
      </c>
      <c r="D2052" s="1142">
        <v>51</v>
      </c>
      <c r="E2052" s="1142">
        <v>89</v>
      </c>
      <c r="F2052" s="1142">
        <v>116</v>
      </c>
      <c r="G2052" s="1142">
        <v>167</v>
      </c>
      <c r="H2052" s="1142">
        <v>150</v>
      </c>
      <c r="I2052" s="1142">
        <v>156</v>
      </c>
      <c r="J2052" s="1142">
        <v>151</v>
      </c>
      <c r="K2052" s="1142">
        <v>86</v>
      </c>
      <c r="L2052" s="1142">
        <v>67</v>
      </c>
      <c r="M2052" s="1142">
        <v>29</v>
      </c>
      <c r="N2052" s="1143">
        <v>19</v>
      </c>
      <c r="O2052" s="1144">
        <v>810</v>
      </c>
      <c r="P2052" s="323"/>
      <c r="Q2052" s="323"/>
      <c r="R2052" s="326"/>
      <c r="S2052" s="326"/>
      <c r="T2052" s="327"/>
      <c r="U2052" s="326"/>
      <c r="V2052" s="328"/>
      <c r="W2052" s="323"/>
      <c r="X2052" s="323"/>
      <c r="Y2052" s="323"/>
    </row>
    <row r="2053" spans="1:25" s="1130" customFormat="1" ht="13.2" hidden="1">
      <c r="A2053" s="1320"/>
      <c r="B2053" s="1140" t="s">
        <v>17</v>
      </c>
      <c r="C2053" s="1141">
        <v>23</v>
      </c>
      <c r="D2053" s="1142">
        <v>46</v>
      </c>
      <c r="E2053" s="1142">
        <v>81</v>
      </c>
      <c r="F2053" s="1142">
        <v>103</v>
      </c>
      <c r="G2053" s="1142">
        <v>150</v>
      </c>
      <c r="H2053" s="1142">
        <v>133</v>
      </c>
      <c r="I2053" s="1142">
        <v>139</v>
      </c>
      <c r="J2053" s="1142">
        <v>136</v>
      </c>
      <c r="K2053" s="1142">
        <v>77</v>
      </c>
      <c r="L2053" s="1142">
        <v>62</v>
      </c>
      <c r="M2053" s="1142">
        <v>27</v>
      </c>
      <c r="N2053" s="1143">
        <v>17</v>
      </c>
      <c r="O2053" s="1144">
        <v>728</v>
      </c>
      <c r="P2053" s="323"/>
      <c r="Q2053" s="323"/>
      <c r="R2053" s="326"/>
      <c r="S2053" s="326"/>
      <c r="T2053" s="327"/>
      <c r="U2053" s="326"/>
      <c r="V2053" s="328"/>
      <c r="W2053" s="323"/>
      <c r="X2053" s="323"/>
      <c r="Y2053" s="323"/>
    </row>
    <row r="2054" spans="1:25" s="1130" customFormat="1" ht="13.2" hidden="1">
      <c r="A2054" s="1321"/>
      <c r="B2054" s="1137" t="s">
        <v>18</v>
      </c>
      <c r="C2054" s="1134">
        <v>18</v>
      </c>
      <c r="D2054" s="1135">
        <v>35</v>
      </c>
      <c r="E2054" s="1135">
        <v>62</v>
      </c>
      <c r="F2054" s="1135">
        <v>76</v>
      </c>
      <c r="G2054" s="1135">
        <v>112</v>
      </c>
      <c r="H2054" s="1135">
        <v>95</v>
      </c>
      <c r="I2054" s="1135">
        <v>102</v>
      </c>
      <c r="J2054" s="1135">
        <v>103</v>
      </c>
      <c r="K2054" s="1135">
        <v>58</v>
      </c>
      <c r="L2054" s="1135">
        <v>48</v>
      </c>
      <c r="M2054" s="1135">
        <v>20</v>
      </c>
      <c r="N2054" s="1136">
        <v>13</v>
      </c>
      <c r="O2054" s="1145">
        <v>543</v>
      </c>
      <c r="P2054" s="323"/>
      <c r="Q2054" s="323"/>
      <c r="R2054" s="326"/>
      <c r="S2054" s="326"/>
      <c r="T2054" s="327"/>
      <c r="U2054" s="326"/>
      <c r="V2054" s="328"/>
      <c r="W2054" s="323"/>
      <c r="X2054" s="323"/>
      <c r="Y2054" s="323"/>
    </row>
    <row r="2055" spans="1:25" s="1130" customFormat="1" ht="13.2" hidden="1">
      <c r="A2055" s="1319" t="s">
        <v>3361</v>
      </c>
      <c r="B2055" s="1140" t="s">
        <v>15</v>
      </c>
      <c r="C2055" s="1141">
        <v>19</v>
      </c>
      <c r="D2055" s="1142">
        <v>39</v>
      </c>
      <c r="E2055" s="1142">
        <v>69</v>
      </c>
      <c r="F2055" s="1142">
        <v>111</v>
      </c>
      <c r="G2055" s="1142">
        <v>162</v>
      </c>
      <c r="H2055" s="1142">
        <v>156</v>
      </c>
      <c r="I2055" s="1142">
        <v>162</v>
      </c>
      <c r="J2055" s="1142">
        <v>140</v>
      </c>
      <c r="K2055" s="1142">
        <v>78</v>
      </c>
      <c r="L2055" s="1142">
        <v>49</v>
      </c>
      <c r="M2055" s="1142">
        <v>23</v>
      </c>
      <c r="N2055" s="1143">
        <v>16</v>
      </c>
      <c r="O2055" s="1144">
        <v>750</v>
      </c>
      <c r="P2055" s="323"/>
      <c r="Q2055" s="323"/>
      <c r="R2055" s="326"/>
      <c r="S2055" s="326"/>
      <c r="T2055" s="327"/>
      <c r="U2055" s="326"/>
      <c r="V2055" s="328"/>
      <c r="W2055" s="323"/>
      <c r="X2055" s="323"/>
      <c r="Y2055" s="323"/>
    </row>
    <row r="2056" spans="1:25" s="1130" customFormat="1" ht="13.2" hidden="1">
      <c r="A2056" s="1320"/>
      <c r="B2056" s="1140" t="s">
        <v>16</v>
      </c>
      <c r="C2056" s="1141">
        <v>17</v>
      </c>
      <c r="D2056" s="1142">
        <v>32</v>
      </c>
      <c r="E2056" s="1142">
        <v>57</v>
      </c>
      <c r="F2056" s="1142">
        <v>93</v>
      </c>
      <c r="G2056" s="1142">
        <v>137</v>
      </c>
      <c r="H2056" s="1142">
        <v>134</v>
      </c>
      <c r="I2056" s="1142">
        <v>139</v>
      </c>
      <c r="J2056" s="1142">
        <v>117</v>
      </c>
      <c r="K2056" s="1142">
        <v>66</v>
      </c>
      <c r="L2056" s="1142">
        <v>41</v>
      </c>
      <c r="M2056" s="1142">
        <v>21</v>
      </c>
      <c r="N2056" s="1143">
        <v>14</v>
      </c>
      <c r="O2056" s="1144">
        <v>637</v>
      </c>
      <c r="P2056" s="323"/>
      <c r="Q2056" s="323"/>
      <c r="R2056" s="326"/>
      <c r="S2056" s="326"/>
      <c r="T2056" s="327"/>
      <c r="U2056" s="326"/>
      <c r="V2056" s="328"/>
      <c r="W2056" s="323"/>
      <c r="X2056" s="323"/>
      <c r="Y2056" s="323"/>
    </row>
    <row r="2057" spans="1:25" s="1130" customFormat="1" ht="13.2" hidden="1">
      <c r="A2057" s="1320"/>
      <c r="B2057" s="1140" t="s">
        <v>17</v>
      </c>
      <c r="C2057" s="1141">
        <v>16</v>
      </c>
      <c r="D2057" s="1142">
        <v>29</v>
      </c>
      <c r="E2057" s="1142">
        <v>49</v>
      </c>
      <c r="F2057" s="1142">
        <v>79</v>
      </c>
      <c r="G2057" s="1142">
        <v>116</v>
      </c>
      <c r="H2057" s="1142">
        <v>114</v>
      </c>
      <c r="I2057" s="1142">
        <v>120</v>
      </c>
      <c r="J2057" s="1142">
        <v>100</v>
      </c>
      <c r="K2057" s="1142">
        <v>57</v>
      </c>
      <c r="L2057" s="1142">
        <v>36</v>
      </c>
      <c r="M2057" s="1142">
        <v>18</v>
      </c>
      <c r="N2057" s="1143">
        <v>12</v>
      </c>
      <c r="O2057" s="1144">
        <v>547</v>
      </c>
      <c r="P2057" s="323"/>
      <c r="Q2057" s="323"/>
      <c r="R2057" s="326"/>
      <c r="S2057" s="326"/>
      <c r="T2057" s="327"/>
      <c r="U2057" s="326"/>
      <c r="V2057" s="328"/>
      <c r="W2057" s="323"/>
      <c r="X2057" s="323"/>
      <c r="Y2057" s="323"/>
    </row>
    <row r="2058" spans="1:25" s="1130" customFormat="1" ht="13.2" hidden="1">
      <c r="A2058" s="1321"/>
      <c r="B2058" s="1137" t="s">
        <v>18</v>
      </c>
      <c r="C2058" s="1134">
        <v>12</v>
      </c>
      <c r="D2058" s="1135">
        <v>23</v>
      </c>
      <c r="E2058" s="1135">
        <v>38</v>
      </c>
      <c r="F2058" s="1135">
        <v>58</v>
      </c>
      <c r="G2058" s="1135">
        <v>85</v>
      </c>
      <c r="H2058" s="1135">
        <v>81</v>
      </c>
      <c r="I2058" s="1135">
        <v>87</v>
      </c>
      <c r="J2058" s="1135">
        <v>74</v>
      </c>
      <c r="K2058" s="1135">
        <v>43</v>
      </c>
      <c r="L2058" s="1135">
        <v>28</v>
      </c>
      <c r="M2058" s="1135">
        <v>13</v>
      </c>
      <c r="N2058" s="1136">
        <v>9</v>
      </c>
      <c r="O2058" s="1145">
        <v>405</v>
      </c>
      <c r="P2058" s="323"/>
      <c r="Q2058" s="323"/>
      <c r="R2058" s="326"/>
      <c r="S2058" s="326"/>
      <c r="T2058" s="327"/>
      <c r="U2058" s="326"/>
      <c r="V2058" s="328"/>
      <c r="W2058" s="323"/>
      <c r="X2058" s="323"/>
      <c r="Y2058" s="323"/>
    </row>
    <row r="2059" spans="1:25" s="1130" customFormat="1" ht="13.2" hidden="1">
      <c r="A2059" s="1319" t="s">
        <v>3362</v>
      </c>
      <c r="B2059" s="1140" t="s">
        <v>15</v>
      </c>
      <c r="C2059" s="1141">
        <v>21</v>
      </c>
      <c r="D2059" s="1142">
        <v>44</v>
      </c>
      <c r="E2059" s="1142">
        <v>76</v>
      </c>
      <c r="F2059" s="1142">
        <v>125</v>
      </c>
      <c r="G2059" s="1142">
        <v>172</v>
      </c>
      <c r="H2059" s="1142">
        <v>161</v>
      </c>
      <c r="I2059" s="1142">
        <v>183</v>
      </c>
      <c r="J2059" s="1142">
        <v>154</v>
      </c>
      <c r="K2059" s="1142">
        <v>86</v>
      </c>
      <c r="L2059" s="1142">
        <v>47</v>
      </c>
      <c r="M2059" s="1142">
        <v>23</v>
      </c>
      <c r="N2059" s="1143">
        <v>16</v>
      </c>
      <c r="O2059" s="1144">
        <v>810</v>
      </c>
      <c r="P2059" s="323"/>
      <c r="Q2059" s="323"/>
      <c r="R2059" s="326"/>
      <c r="S2059" s="326"/>
      <c r="T2059" s="327"/>
      <c r="U2059" s="326"/>
      <c r="V2059" s="328"/>
      <c r="W2059" s="323"/>
      <c r="X2059" s="323"/>
      <c r="Y2059" s="323"/>
    </row>
    <row r="2060" spans="1:25" s="1130" customFormat="1" ht="13.2" hidden="1">
      <c r="A2060" s="1320"/>
      <c r="B2060" s="1140" t="s">
        <v>16</v>
      </c>
      <c r="C2060" s="1141">
        <v>18</v>
      </c>
      <c r="D2060" s="1142">
        <v>38</v>
      </c>
      <c r="E2060" s="1142">
        <v>64</v>
      </c>
      <c r="F2060" s="1142">
        <v>110</v>
      </c>
      <c r="G2060" s="1142">
        <v>149</v>
      </c>
      <c r="H2060" s="1142">
        <v>141</v>
      </c>
      <c r="I2060" s="1142">
        <v>166</v>
      </c>
      <c r="J2060" s="1142">
        <v>134</v>
      </c>
      <c r="K2060" s="1142">
        <v>75</v>
      </c>
      <c r="L2060" s="1142">
        <v>39</v>
      </c>
      <c r="M2060" s="1142">
        <v>20</v>
      </c>
      <c r="N2060" s="1143">
        <v>14</v>
      </c>
      <c r="O2060" s="1144">
        <v>710</v>
      </c>
      <c r="P2060" s="323"/>
      <c r="Q2060" s="323"/>
      <c r="R2060" s="326"/>
      <c r="S2060" s="326"/>
      <c r="T2060" s="327"/>
      <c r="U2060" s="326"/>
      <c r="V2060" s="328"/>
      <c r="W2060" s="323"/>
      <c r="X2060" s="323"/>
      <c r="Y2060" s="323"/>
    </row>
    <row r="2061" spans="1:25" s="1130" customFormat="1" ht="13.2" hidden="1">
      <c r="A2061" s="1320"/>
      <c r="B2061" s="1140" t="s">
        <v>17</v>
      </c>
      <c r="C2061" s="1141">
        <v>17</v>
      </c>
      <c r="D2061" s="1142">
        <v>34</v>
      </c>
      <c r="E2061" s="1142">
        <v>56</v>
      </c>
      <c r="F2061" s="1142">
        <v>96</v>
      </c>
      <c r="G2061" s="1142">
        <v>130</v>
      </c>
      <c r="H2061" s="1142">
        <v>121</v>
      </c>
      <c r="I2061" s="1142">
        <v>148</v>
      </c>
      <c r="J2061" s="1142">
        <v>116</v>
      </c>
      <c r="K2061" s="1142">
        <v>66</v>
      </c>
      <c r="L2061" s="1142">
        <v>34</v>
      </c>
      <c r="M2061" s="1142">
        <v>18</v>
      </c>
      <c r="N2061" s="1143">
        <v>13</v>
      </c>
      <c r="O2061" s="1144">
        <v>621</v>
      </c>
      <c r="P2061" s="323"/>
      <c r="Q2061" s="323"/>
      <c r="R2061" s="326"/>
      <c r="S2061" s="326"/>
      <c r="T2061" s="327"/>
      <c r="U2061" s="326"/>
      <c r="V2061" s="328"/>
      <c r="W2061" s="323"/>
      <c r="X2061" s="323"/>
      <c r="Y2061" s="323"/>
    </row>
    <row r="2062" spans="1:25" s="1130" customFormat="1" ht="13.2" hidden="1">
      <c r="A2062" s="1321"/>
      <c r="B2062" s="1137" t="s">
        <v>18</v>
      </c>
      <c r="C2062" s="1134">
        <v>13</v>
      </c>
      <c r="D2062" s="1135">
        <v>27</v>
      </c>
      <c r="E2062" s="1135">
        <v>43</v>
      </c>
      <c r="F2062" s="1135">
        <v>72</v>
      </c>
      <c r="G2062" s="1135">
        <v>97</v>
      </c>
      <c r="H2062" s="1135">
        <v>86</v>
      </c>
      <c r="I2062" s="1135">
        <v>111</v>
      </c>
      <c r="J2062" s="1135">
        <v>88</v>
      </c>
      <c r="K2062" s="1135">
        <v>50</v>
      </c>
      <c r="L2062" s="1135">
        <v>26</v>
      </c>
      <c r="M2062" s="1135">
        <v>13</v>
      </c>
      <c r="N2062" s="1136">
        <v>9</v>
      </c>
      <c r="O2062" s="1145">
        <v>466</v>
      </c>
      <c r="P2062" s="323"/>
      <c r="Q2062" s="323"/>
      <c r="R2062" s="326"/>
      <c r="S2062" s="326"/>
      <c r="T2062" s="327"/>
      <c r="U2062" s="326"/>
      <c r="V2062" s="328"/>
      <c r="W2062" s="323"/>
      <c r="X2062" s="323"/>
      <c r="Y2062" s="323"/>
    </row>
    <row r="2063" spans="1:25" s="1130" customFormat="1" ht="13.2" hidden="1">
      <c r="A2063" s="1319" t="s">
        <v>12</v>
      </c>
      <c r="B2063" s="1140" t="s">
        <v>15</v>
      </c>
      <c r="C2063" s="1141">
        <v>18</v>
      </c>
      <c r="D2063" s="1142">
        <v>32</v>
      </c>
      <c r="E2063" s="1142">
        <v>56</v>
      </c>
      <c r="F2063" s="1142">
        <v>108</v>
      </c>
      <c r="G2063" s="1142">
        <v>159</v>
      </c>
      <c r="H2063" s="1142">
        <v>154</v>
      </c>
      <c r="I2063" s="1142">
        <v>168</v>
      </c>
      <c r="J2063" s="1142">
        <v>136</v>
      </c>
      <c r="K2063" s="1142">
        <v>73</v>
      </c>
      <c r="L2063" s="1142">
        <v>36</v>
      </c>
      <c r="M2063" s="1142">
        <v>21</v>
      </c>
      <c r="N2063" s="1143">
        <v>15</v>
      </c>
      <c r="O2063" s="1144">
        <v>716</v>
      </c>
      <c r="P2063" s="323"/>
      <c r="Q2063" s="323"/>
      <c r="R2063" s="326"/>
      <c r="S2063" s="326"/>
      <c r="T2063" s="327"/>
      <c r="U2063" s="326"/>
      <c r="V2063" s="328"/>
      <c r="W2063" s="323"/>
      <c r="X2063" s="323"/>
      <c r="Y2063" s="323"/>
    </row>
    <row r="2064" spans="1:25" s="1130" customFormat="1" ht="13.2" hidden="1">
      <c r="A2064" s="1320"/>
      <c r="B2064" s="1140" t="s">
        <v>16</v>
      </c>
      <c r="C2064" s="1141">
        <v>17</v>
      </c>
      <c r="D2064" s="1142">
        <v>29</v>
      </c>
      <c r="E2064" s="1142">
        <v>43</v>
      </c>
      <c r="F2064" s="1142">
        <v>84</v>
      </c>
      <c r="G2064" s="1142">
        <v>127</v>
      </c>
      <c r="H2064" s="1142">
        <v>131</v>
      </c>
      <c r="I2064" s="1142">
        <v>143</v>
      </c>
      <c r="J2064" s="1142">
        <v>103</v>
      </c>
      <c r="K2064" s="1142">
        <v>56</v>
      </c>
      <c r="L2064" s="1142">
        <v>32</v>
      </c>
      <c r="M2064" s="1142">
        <v>19</v>
      </c>
      <c r="N2064" s="1143">
        <v>14</v>
      </c>
      <c r="O2064" s="1144">
        <v>584</v>
      </c>
      <c r="P2064" s="323"/>
      <c r="Q2064" s="323"/>
      <c r="R2064" s="326"/>
      <c r="S2064" s="326"/>
      <c r="T2064" s="327"/>
      <c r="U2064" s="326"/>
      <c r="V2064" s="328"/>
      <c r="W2064" s="323"/>
      <c r="X2064" s="323"/>
      <c r="Y2064" s="323"/>
    </row>
    <row r="2065" spans="1:25" s="1130" customFormat="1" ht="13.2" hidden="1">
      <c r="A2065" s="1320"/>
      <c r="B2065" s="1140" t="s">
        <v>17</v>
      </c>
      <c r="C2065" s="1141">
        <v>15</v>
      </c>
      <c r="D2065" s="1142">
        <v>26</v>
      </c>
      <c r="E2065" s="1142">
        <v>39</v>
      </c>
      <c r="F2065" s="1142">
        <v>69</v>
      </c>
      <c r="G2065" s="1142">
        <v>93</v>
      </c>
      <c r="H2065" s="1142">
        <v>104</v>
      </c>
      <c r="I2065" s="1142">
        <v>115</v>
      </c>
      <c r="J2065" s="1142">
        <v>75</v>
      </c>
      <c r="K2065" s="1142">
        <v>49</v>
      </c>
      <c r="L2065" s="1142">
        <v>29</v>
      </c>
      <c r="M2065" s="1142">
        <v>17</v>
      </c>
      <c r="N2065" s="1143">
        <v>12</v>
      </c>
      <c r="O2065" s="1144">
        <v>471</v>
      </c>
      <c r="P2065" s="323"/>
      <c r="Q2065" s="323"/>
      <c r="R2065" s="326"/>
      <c r="S2065" s="326"/>
      <c r="T2065" s="327"/>
      <c r="U2065" s="326"/>
      <c r="V2065" s="328"/>
      <c r="W2065" s="323"/>
      <c r="X2065" s="323"/>
      <c r="Y2065" s="323"/>
    </row>
    <row r="2066" spans="1:25" s="1130" customFormat="1" ht="13.2" hidden="1">
      <c r="A2066" s="1321"/>
      <c r="B2066" s="1137" t="s">
        <v>18</v>
      </c>
      <c r="C2066" s="1134">
        <v>12</v>
      </c>
      <c r="D2066" s="1135">
        <v>22</v>
      </c>
      <c r="E2066" s="1135">
        <v>32</v>
      </c>
      <c r="F2066" s="1135">
        <v>53</v>
      </c>
      <c r="G2066" s="1135">
        <v>68</v>
      </c>
      <c r="H2066" s="1135">
        <v>72</v>
      </c>
      <c r="I2066" s="1135">
        <v>82</v>
      </c>
      <c r="J2066" s="1135">
        <v>57</v>
      </c>
      <c r="K2066" s="1135">
        <v>38</v>
      </c>
      <c r="L2066" s="1135">
        <v>23</v>
      </c>
      <c r="M2066" s="1135">
        <v>13</v>
      </c>
      <c r="N2066" s="1136">
        <v>9</v>
      </c>
      <c r="O2066" s="1145">
        <v>352</v>
      </c>
      <c r="P2066" s="323"/>
      <c r="Q2066" s="323"/>
      <c r="R2066" s="326"/>
      <c r="S2066" s="326"/>
      <c r="T2066" s="327"/>
      <c r="U2066" s="326"/>
      <c r="V2066" s="328"/>
      <c r="W2066" s="323"/>
      <c r="X2066" s="323"/>
      <c r="Y2066" s="323"/>
    </row>
    <row r="2067" spans="1:25" s="1130" customFormat="1" ht="39.6" hidden="1">
      <c r="A2067" s="1146"/>
      <c r="B2067" s="1147"/>
      <c r="C2067" s="1375" t="s">
        <v>3363</v>
      </c>
      <c r="D2067" s="1376"/>
      <c r="E2067" s="1376"/>
      <c r="F2067" s="1376"/>
      <c r="G2067" s="1376"/>
      <c r="H2067" s="1376"/>
      <c r="I2067" s="1376"/>
      <c r="J2067" s="1376"/>
      <c r="K2067" s="1376"/>
      <c r="L2067" s="1376"/>
      <c r="M2067" s="1376"/>
      <c r="N2067" s="1377"/>
      <c r="O2067" s="1131" t="s">
        <v>3364</v>
      </c>
      <c r="P2067" s="323"/>
      <c r="Q2067" s="323"/>
      <c r="R2067" s="326"/>
      <c r="S2067" s="326"/>
      <c r="T2067" s="327"/>
      <c r="U2067" s="326"/>
      <c r="V2067" s="328"/>
      <c r="W2067" s="323"/>
      <c r="X2067" s="323"/>
      <c r="Y2067" s="323"/>
    </row>
    <row r="2068" spans="1:25" s="1130" customFormat="1" ht="12.75" hidden="1" customHeight="1">
      <c r="A2068" s="1148" t="s">
        <v>1894</v>
      </c>
      <c r="B2068" s="1149"/>
      <c r="C2068" s="1150">
        <v>-3.3</v>
      </c>
      <c r="D2068" s="1151">
        <v>-3.5</v>
      </c>
      <c r="E2068" s="1151">
        <v>-1.3</v>
      </c>
      <c r="F2068" s="1151">
        <v>2.2999999999999998</v>
      </c>
      <c r="G2068" s="1151">
        <v>7.4</v>
      </c>
      <c r="H2068" s="1151">
        <v>9.8000000000000007</v>
      </c>
      <c r="I2068" s="1151">
        <v>12.2</v>
      </c>
      <c r="J2068" s="1151">
        <v>12.4</v>
      </c>
      <c r="K2068" s="1151">
        <v>8.1</v>
      </c>
      <c r="L2068" s="1151">
        <v>4.4000000000000004</v>
      </c>
      <c r="M2068" s="1151">
        <v>-0.6</v>
      </c>
      <c r="N2068" s="1152">
        <v>-2.8</v>
      </c>
      <c r="O2068" s="1153">
        <v>3.8</v>
      </c>
      <c r="P2068" s="323"/>
      <c r="Q2068" s="323"/>
      <c r="R2068" s="326"/>
      <c r="S2068" s="326"/>
      <c r="T2068" s="327"/>
      <c r="U2068" s="326"/>
      <c r="V2068" s="328"/>
      <c r="W2068" s="323"/>
      <c r="X2068" s="323"/>
      <c r="Y2068" s="323"/>
    </row>
    <row r="2069" spans="1:25" s="1130" customFormat="1" ht="13.2" hidden="1">
      <c r="P2069" s="1155"/>
      <c r="Q2069" s="1129"/>
    </row>
    <row r="2070" spans="1:25" s="1130" customFormat="1" ht="13.2" hidden="1">
      <c r="P2070" s="1155"/>
      <c r="Q2070" s="1129"/>
    </row>
    <row r="2071" spans="1:25" s="1130" customFormat="1" ht="13.2" hidden="1">
      <c r="A2071" s="1129" t="s">
        <v>3385</v>
      </c>
      <c r="Q2071" s="1129"/>
    </row>
    <row r="2072" spans="1:25" s="1130" customFormat="1" ht="13.2" hidden="1">
      <c r="Q2072" s="1129"/>
    </row>
    <row r="2073" spans="1:25" s="1130" customFormat="1" ht="66" hidden="1">
      <c r="A2073" s="1314" t="s">
        <v>3386</v>
      </c>
      <c r="B2073" s="1315"/>
      <c r="C2073" s="1316" t="s">
        <v>3355</v>
      </c>
      <c r="D2073" s="1317"/>
      <c r="E2073" s="1317"/>
      <c r="F2073" s="1317"/>
      <c r="G2073" s="1317"/>
      <c r="H2073" s="1317"/>
      <c r="I2073" s="1317"/>
      <c r="J2073" s="1317"/>
      <c r="K2073" s="1317"/>
      <c r="L2073" s="1317"/>
      <c r="M2073" s="1317"/>
      <c r="N2073" s="1318"/>
      <c r="O2073" s="1131" t="s">
        <v>3356</v>
      </c>
      <c r="P2073" s="323"/>
      <c r="Q2073" s="1156">
        <v>12</v>
      </c>
      <c r="R2073" s="326"/>
      <c r="S2073" s="326"/>
      <c r="T2073" s="327"/>
      <c r="U2073" s="326"/>
      <c r="V2073" s="328"/>
      <c r="W2073" s="323"/>
      <c r="X2073" s="323"/>
      <c r="Y2073" s="323"/>
    </row>
    <row r="2074" spans="1:25" s="1130" customFormat="1" ht="13.2" hidden="1">
      <c r="A2074" s="1132" t="s">
        <v>77</v>
      </c>
      <c r="B2074" s="1133" t="s">
        <v>1795</v>
      </c>
      <c r="C2074" s="1134" t="s">
        <v>116</v>
      </c>
      <c r="D2074" s="1135" t="s">
        <v>117</v>
      </c>
      <c r="E2074" s="1135" t="s">
        <v>118</v>
      </c>
      <c r="F2074" s="1135" t="s">
        <v>119</v>
      </c>
      <c r="G2074" s="1135" t="s">
        <v>120</v>
      </c>
      <c r="H2074" s="1135" t="s">
        <v>121</v>
      </c>
      <c r="I2074" s="1135" t="s">
        <v>122</v>
      </c>
      <c r="J2074" s="1135" t="s">
        <v>123</v>
      </c>
      <c r="K2074" s="1135" t="s">
        <v>124</v>
      </c>
      <c r="L2074" s="1135" t="s">
        <v>125</v>
      </c>
      <c r="M2074" s="1135" t="s">
        <v>126</v>
      </c>
      <c r="N2074" s="1136" t="s">
        <v>127</v>
      </c>
      <c r="O2074" s="1137" t="s">
        <v>3357</v>
      </c>
      <c r="P2074" s="323"/>
      <c r="Q2074" s="323"/>
      <c r="R2074" s="326"/>
      <c r="S2074" s="326"/>
      <c r="T2074" s="327"/>
      <c r="U2074" s="326"/>
      <c r="V2074" s="328"/>
      <c r="W2074" s="323"/>
      <c r="X2074" s="323"/>
      <c r="Y2074" s="323"/>
    </row>
    <row r="2075" spans="1:25" s="1130" customFormat="1" ht="13.2" hidden="1">
      <c r="A2075" s="1138" t="s">
        <v>3358</v>
      </c>
      <c r="B2075" s="1137" t="s">
        <v>14</v>
      </c>
      <c r="C2075" s="1134">
        <v>33</v>
      </c>
      <c r="D2075" s="1135">
        <v>59</v>
      </c>
      <c r="E2075" s="1135">
        <v>131</v>
      </c>
      <c r="F2075" s="1135">
        <v>139</v>
      </c>
      <c r="G2075" s="1135">
        <v>193</v>
      </c>
      <c r="H2075" s="1135">
        <v>246</v>
      </c>
      <c r="I2075" s="1135">
        <v>222</v>
      </c>
      <c r="J2075" s="1135">
        <v>191</v>
      </c>
      <c r="K2075" s="1135">
        <v>119</v>
      </c>
      <c r="L2075" s="1135">
        <v>89</v>
      </c>
      <c r="M2075" s="1135">
        <v>37</v>
      </c>
      <c r="N2075" s="1136">
        <v>27</v>
      </c>
      <c r="O2075" s="1139">
        <v>1089</v>
      </c>
      <c r="P2075" s="323"/>
      <c r="Q2075" s="323"/>
      <c r="R2075" s="326"/>
      <c r="S2075" s="326"/>
      <c r="T2075" s="327"/>
      <c r="U2075" s="326"/>
      <c r="V2075" s="328"/>
      <c r="W2075" s="323"/>
      <c r="X2075" s="323"/>
      <c r="Y2075" s="323"/>
    </row>
    <row r="2076" spans="1:25" s="1130" customFormat="1" ht="13.2" hidden="1">
      <c r="A2076" s="1319" t="s">
        <v>11</v>
      </c>
      <c r="B2076" s="1140" t="s">
        <v>15</v>
      </c>
      <c r="C2076" s="1141">
        <v>53</v>
      </c>
      <c r="D2076" s="1142">
        <v>77</v>
      </c>
      <c r="E2076" s="1142">
        <v>166</v>
      </c>
      <c r="F2076" s="1142">
        <v>150</v>
      </c>
      <c r="G2076" s="1142">
        <v>196</v>
      </c>
      <c r="H2076" s="1142">
        <v>242</v>
      </c>
      <c r="I2076" s="1142">
        <v>222</v>
      </c>
      <c r="J2076" s="1142">
        <v>205</v>
      </c>
      <c r="K2076" s="1142">
        <v>138</v>
      </c>
      <c r="L2076" s="1142">
        <v>126</v>
      </c>
      <c r="M2076" s="1142">
        <v>52</v>
      </c>
      <c r="N2076" s="1143">
        <v>46</v>
      </c>
      <c r="O2076" s="1144">
        <v>1225</v>
      </c>
      <c r="P2076" s="323"/>
      <c r="Q2076" s="323"/>
      <c r="R2076" s="326"/>
      <c r="S2076" s="326"/>
      <c r="T2076" s="327"/>
      <c r="U2076" s="326"/>
      <c r="V2076" s="328"/>
      <c r="W2076" s="323"/>
      <c r="X2076" s="323"/>
      <c r="Y2076" s="323"/>
    </row>
    <row r="2077" spans="1:25" s="1130" customFormat="1" ht="13.2" hidden="1">
      <c r="A2077" s="1320"/>
      <c r="B2077" s="1140" t="s">
        <v>16</v>
      </c>
      <c r="C2077" s="1141">
        <v>59</v>
      </c>
      <c r="D2077" s="1142">
        <v>82</v>
      </c>
      <c r="E2077" s="1142">
        <v>171</v>
      </c>
      <c r="F2077" s="1142">
        <v>145</v>
      </c>
      <c r="G2077" s="1142">
        <v>184</v>
      </c>
      <c r="H2077" s="1142">
        <v>223</v>
      </c>
      <c r="I2077" s="1142">
        <v>206</v>
      </c>
      <c r="J2077" s="1142">
        <v>197</v>
      </c>
      <c r="K2077" s="1142">
        <v>137</v>
      </c>
      <c r="L2077" s="1142">
        <v>134</v>
      </c>
      <c r="M2077" s="1142">
        <v>55</v>
      </c>
      <c r="N2077" s="1143">
        <v>53</v>
      </c>
      <c r="O2077" s="1144">
        <v>1206</v>
      </c>
      <c r="P2077" s="323"/>
      <c r="Q2077" s="323"/>
      <c r="R2077" s="326"/>
      <c r="S2077" s="326"/>
      <c r="T2077" s="327"/>
      <c r="U2077" s="326"/>
      <c r="V2077" s="328"/>
      <c r="W2077" s="323"/>
      <c r="X2077" s="323"/>
      <c r="Y2077" s="323"/>
    </row>
    <row r="2078" spans="1:25" s="1130" customFormat="1" ht="13.2" hidden="1">
      <c r="A2078" s="1320"/>
      <c r="B2078" s="1140" t="s">
        <v>17</v>
      </c>
      <c r="C2078" s="1141">
        <v>63</v>
      </c>
      <c r="D2078" s="1142">
        <v>82</v>
      </c>
      <c r="E2078" s="1142">
        <v>168</v>
      </c>
      <c r="F2078" s="1142">
        <v>134</v>
      </c>
      <c r="G2078" s="1142">
        <v>164</v>
      </c>
      <c r="H2078" s="1142">
        <v>196</v>
      </c>
      <c r="I2078" s="1142">
        <v>183</v>
      </c>
      <c r="J2078" s="1142">
        <v>181</v>
      </c>
      <c r="K2078" s="1142">
        <v>130</v>
      </c>
      <c r="L2078" s="1142">
        <v>136</v>
      </c>
      <c r="M2078" s="1142">
        <v>56</v>
      </c>
      <c r="N2078" s="1143">
        <v>56</v>
      </c>
      <c r="O2078" s="1144">
        <v>1133</v>
      </c>
      <c r="P2078" s="323"/>
      <c r="Q2078" s="323"/>
      <c r="R2078" s="326"/>
      <c r="S2078" s="326"/>
      <c r="T2078" s="327"/>
      <c r="U2078" s="326"/>
      <c r="V2078" s="328"/>
      <c r="W2078" s="323"/>
      <c r="X2078" s="323"/>
      <c r="Y2078" s="323"/>
    </row>
    <row r="2079" spans="1:25" s="1130" customFormat="1" ht="13.2" hidden="1">
      <c r="A2079" s="1321"/>
      <c r="B2079" s="1137" t="s">
        <v>18</v>
      </c>
      <c r="C2079" s="1134">
        <v>59</v>
      </c>
      <c r="D2079" s="1135">
        <v>71</v>
      </c>
      <c r="E2079" s="1135">
        <v>136</v>
      </c>
      <c r="F2079" s="1135">
        <v>96</v>
      </c>
      <c r="G2079" s="1135">
        <v>107</v>
      </c>
      <c r="H2079" s="1135">
        <v>122</v>
      </c>
      <c r="I2079" s="1135">
        <v>117</v>
      </c>
      <c r="J2079" s="1135">
        <v>125</v>
      </c>
      <c r="K2079" s="1135">
        <v>99</v>
      </c>
      <c r="L2079" s="1135">
        <v>117</v>
      </c>
      <c r="M2079" s="1135">
        <v>50</v>
      </c>
      <c r="N2079" s="1136">
        <v>54</v>
      </c>
      <c r="O2079" s="1145">
        <v>845</v>
      </c>
      <c r="P2079" s="323"/>
      <c r="Q2079" s="323"/>
      <c r="R2079" s="326"/>
      <c r="S2079" s="326"/>
      <c r="T2079" s="327"/>
      <c r="U2079" s="326"/>
      <c r="V2079" s="328"/>
      <c r="W2079" s="323"/>
      <c r="X2079" s="323"/>
      <c r="Y2079" s="323"/>
    </row>
    <row r="2080" spans="1:25" s="1130" customFormat="1" ht="13.2" hidden="1">
      <c r="A2080" s="1319" t="s">
        <v>3359</v>
      </c>
      <c r="B2080" s="1140" t="s">
        <v>15</v>
      </c>
      <c r="C2080" s="1141">
        <v>50</v>
      </c>
      <c r="D2080" s="1142">
        <v>74</v>
      </c>
      <c r="E2080" s="1142">
        <v>165</v>
      </c>
      <c r="F2080" s="1142">
        <v>147</v>
      </c>
      <c r="G2080" s="1142">
        <v>198</v>
      </c>
      <c r="H2080" s="1142">
        <v>248</v>
      </c>
      <c r="I2080" s="1142">
        <v>226</v>
      </c>
      <c r="J2080" s="1142">
        <v>207</v>
      </c>
      <c r="K2080" s="1142">
        <v>135</v>
      </c>
      <c r="L2080" s="1142">
        <v>114</v>
      </c>
      <c r="M2080" s="1142">
        <v>46</v>
      </c>
      <c r="N2080" s="1143">
        <v>42</v>
      </c>
      <c r="O2080" s="1144">
        <v>1210</v>
      </c>
      <c r="P2080" s="323"/>
      <c r="Q2080" s="323"/>
      <c r="R2080" s="326"/>
      <c r="S2080" s="326"/>
      <c r="T2080" s="327"/>
      <c r="U2080" s="326"/>
      <c r="V2080" s="328"/>
      <c r="W2080" s="323"/>
      <c r="X2080" s="323"/>
      <c r="Y2080" s="323"/>
    </row>
    <row r="2081" spans="1:25" s="1130" customFormat="1" ht="13.2" hidden="1">
      <c r="A2081" s="1320"/>
      <c r="B2081" s="1140" t="s">
        <v>16</v>
      </c>
      <c r="C2081" s="1141">
        <v>56</v>
      </c>
      <c r="D2081" s="1142">
        <v>77</v>
      </c>
      <c r="E2081" s="1142">
        <v>170</v>
      </c>
      <c r="F2081" s="1142">
        <v>142</v>
      </c>
      <c r="G2081" s="1142">
        <v>189</v>
      </c>
      <c r="H2081" s="1142">
        <v>233</v>
      </c>
      <c r="I2081" s="1142">
        <v>214</v>
      </c>
      <c r="J2081" s="1142">
        <v>202</v>
      </c>
      <c r="K2081" s="1142">
        <v>134</v>
      </c>
      <c r="L2081" s="1142">
        <v>118</v>
      </c>
      <c r="M2081" s="1142">
        <v>48</v>
      </c>
      <c r="N2081" s="1143">
        <v>46</v>
      </c>
      <c r="O2081" s="1144">
        <v>1192</v>
      </c>
      <c r="P2081" s="323"/>
      <c r="Q2081" s="323"/>
      <c r="R2081" s="326"/>
      <c r="S2081" s="326"/>
      <c r="T2081" s="327"/>
      <c r="U2081" s="326"/>
      <c r="V2081" s="328"/>
      <c r="W2081" s="323"/>
      <c r="X2081" s="323"/>
      <c r="Y2081" s="323"/>
    </row>
    <row r="2082" spans="1:25" s="1130" customFormat="1" ht="13.2" hidden="1">
      <c r="A2082" s="1320"/>
      <c r="B2082" s="1140" t="s">
        <v>17</v>
      </c>
      <c r="C2082" s="1141">
        <v>58</v>
      </c>
      <c r="D2082" s="1142">
        <v>77</v>
      </c>
      <c r="E2082" s="1142">
        <v>168</v>
      </c>
      <c r="F2082" s="1142">
        <v>132</v>
      </c>
      <c r="G2082" s="1142">
        <v>172</v>
      </c>
      <c r="H2082" s="1142">
        <v>210</v>
      </c>
      <c r="I2082" s="1142">
        <v>194</v>
      </c>
      <c r="J2082" s="1142">
        <v>188</v>
      </c>
      <c r="K2082" s="1142">
        <v>128</v>
      </c>
      <c r="L2082" s="1142">
        <v>116</v>
      </c>
      <c r="M2082" s="1142">
        <v>47</v>
      </c>
      <c r="N2082" s="1143">
        <v>48</v>
      </c>
      <c r="O2082" s="1144">
        <v>1125</v>
      </c>
      <c r="P2082" s="323"/>
      <c r="Q2082" s="323"/>
      <c r="R2082" s="326"/>
      <c r="S2082" s="326"/>
      <c r="T2082" s="327"/>
      <c r="U2082" s="326"/>
      <c r="V2082" s="328"/>
      <c r="W2082" s="323"/>
      <c r="X2082" s="323"/>
      <c r="Y2082" s="323"/>
    </row>
    <row r="2083" spans="1:25" s="1130" customFormat="1" ht="13.2" hidden="1">
      <c r="A2083" s="1321"/>
      <c r="B2083" s="1137" t="s">
        <v>18</v>
      </c>
      <c r="C2083" s="1134">
        <v>54</v>
      </c>
      <c r="D2083" s="1135">
        <v>65</v>
      </c>
      <c r="E2083" s="1135">
        <v>138</v>
      </c>
      <c r="F2083" s="1135">
        <v>98</v>
      </c>
      <c r="G2083" s="1135">
        <v>122</v>
      </c>
      <c r="H2083" s="1135">
        <v>147</v>
      </c>
      <c r="I2083" s="1135">
        <v>138</v>
      </c>
      <c r="J2083" s="1135">
        <v>140</v>
      </c>
      <c r="K2083" s="1135">
        <v>99</v>
      </c>
      <c r="L2083" s="1135">
        <v>96</v>
      </c>
      <c r="M2083" s="1135">
        <v>40</v>
      </c>
      <c r="N2083" s="1136">
        <v>45</v>
      </c>
      <c r="O2083" s="1145">
        <v>866</v>
      </c>
      <c r="P2083" s="323"/>
      <c r="Q2083" s="323"/>
      <c r="R2083" s="326"/>
      <c r="S2083" s="326"/>
      <c r="T2083" s="327"/>
      <c r="U2083" s="326"/>
      <c r="V2083" s="328"/>
      <c r="W2083" s="323"/>
      <c r="X2083" s="323"/>
      <c r="Y2083" s="323"/>
    </row>
    <row r="2084" spans="1:25" s="1130" customFormat="1" ht="13.2" hidden="1">
      <c r="A2084" s="1319" t="s">
        <v>3360</v>
      </c>
      <c r="B2084" s="1140" t="s">
        <v>15</v>
      </c>
      <c r="C2084" s="1141">
        <v>42</v>
      </c>
      <c r="D2084" s="1142">
        <v>67</v>
      </c>
      <c r="E2084" s="1142">
        <v>142</v>
      </c>
      <c r="F2084" s="1142">
        <v>140</v>
      </c>
      <c r="G2084" s="1142">
        <v>186</v>
      </c>
      <c r="H2084" s="1142">
        <v>231</v>
      </c>
      <c r="I2084" s="1142">
        <v>211</v>
      </c>
      <c r="J2084" s="1142">
        <v>188</v>
      </c>
      <c r="K2084" s="1142">
        <v>125</v>
      </c>
      <c r="L2084" s="1142">
        <v>113</v>
      </c>
      <c r="M2084" s="1142">
        <v>47</v>
      </c>
      <c r="N2084" s="1143">
        <v>38</v>
      </c>
      <c r="O2084" s="1144">
        <v>1121</v>
      </c>
      <c r="P2084" s="323"/>
      <c r="Q2084" s="323"/>
      <c r="R2084" s="326"/>
      <c r="S2084" s="326"/>
      <c r="T2084" s="327"/>
      <c r="U2084" s="326"/>
      <c r="V2084" s="328"/>
      <c r="W2084" s="323"/>
      <c r="X2084" s="323"/>
      <c r="Y2084" s="323"/>
    </row>
    <row r="2085" spans="1:25" s="1130" customFormat="1" ht="13.2" hidden="1">
      <c r="A2085" s="1320"/>
      <c r="B2085" s="1140" t="s">
        <v>16</v>
      </c>
      <c r="C2085" s="1141">
        <v>44</v>
      </c>
      <c r="D2085" s="1142">
        <v>67</v>
      </c>
      <c r="E2085" s="1142">
        <v>140</v>
      </c>
      <c r="F2085" s="1142">
        <v>134</v>
      </c>
      <c r="G2085" s="1142">
        <v>172</v>
      </c>
      <c r="H2085" s="1142">
        <v>212</v>
      </c>
      <c r="I2085" s="1142">
        <v>195</v>
      </c>
      <c r="J2085" s="1142">
        <v>178</v>
      </c>
      <c r="K2085" s="1142">
        <v>120</v>
      </c>
      <c r="L2085" s="1142">
        <v>117</v>
      </c>
      <c r="M2085" s="1142">
        <v>49</v>
      </c>
      <c r="N2085" s="1143">
        <v>41</v>
      </c>
      <c r="O2085" s="1144">
        <v>1075</v>
      </c>
      <c r="P2085" s="323"/>
      <c r="Q2085" s="323"/>
      <c r="R2085" s="326"/>
      <c r="S2085" s="326"/>
      <c r="T2085" s="327"/>
      <c r="U2085" s="326"/>
      <c r="V2085" s="328"/>
      <c r="W2085" s="323"/>
      <c r="X2085" s="323"/>
      <c r="Y2085" s="323"/>
    </row>
    <row r="2086" spans="1:25" s="1130" customFormat="1" ht="13.2" hidden="1">
      <c r="A2086" s="1320"/>
      <c r="B2086" s="1140" t="s">
        <v>17</v>
      </c>
      <c r="C2086" s="1141">
        <v>44</v>
      </c>
      <c r="D2086" s="1142">
        <v>65</v>
      </c>
      <c r="E2086" s="1142">
        <v>132</v>
      </c>
      <c r="F2086" s="1142">
        <v>122</v>
      </c>
      <c r="G2086" s="1142">
        <v>154</v>
      </c>
      <c r="H2086" s="1142">
        <v>187</v>
      </c>
      <c r="I2086" s="1142">
        <v>174</v>
      </c>
      <c r="J2086" s="1142">
        <v>161</v>
      </c>
      <c r="K2086" s="1142">
        <v>111</v>
      </c>
      <c r="L2086" s="1142">
        <v>115</v>
      </c>
      <c r="M2086" s="1142">
        <v>48</v>
      </c>
      <c r="N2086" s="1143">
        <v>42</v>
      </c>
      <c r="O2086" s="1144">
        <v>992</v>
      </c>
      <c r="P2086" s="323"/>
      <c r="Q2086" s="323"/>
      <c r="R2086" s="326"/>
      <c r="S2086" s="326"/>
      <c r="T2086" s="327"/>
      <c r="U2086" s="326"/>
      <c r="V2086" s="328"/>
      <c r="W2086" s="323"/>
      <c r="X2086" s="323"/>
      <c r="Y2086" s="323"/>
    </row>
    <row r="2087" spans="1:25" s="1130" customFormat="1" ht="13.2" hidden="1">
      <c r="A2087" s="1321"/>
      <c r="B2087" s="1137" t="s">
        <v>18</v>
      </c>
      <c r="C2087" s="1134">
        <v>38</v>
      </c>
      <c r="D2087" s="1135">
        <v>52</v>
      </c>
      <c r="E2087" s="1135">
        <v>101</v>
      </c>
      <c r="F2087" s="1135">
        <v>89</v>
      </c>
      <c r="G2087" s="1135">
        <v>106</v>
      </c>
      <c r="H2087" s="1135">
        <v>127</v>
      </c>
      <c r="I2087" s="1135">
        <v>120</v>
      </c>
      <c r="J2087" s="1135">
        <v>114</v>
      </c>
      <c r="K2087" s="1135">
        <v>83</v>
      </c>
      <c r="L2087" s="1135">
        <v>95</v>
      </c>
      <c r="M2087" s="1135">
        <v>41</v>
      </c>
      <c r="N2087" s="1136">
        <v>38</v>
      </c>
      <c r="O2087" s="1145">
        <v>736</v>
      </c>
      <c r="P2087" s="323"/>
      <c r="Q2087" s="323"/>
      <c r="R2087" s="326"/>
      <c r="S2087" s="326"/>
      <c r="T2087" s="327"/>
      <c r="U2087" s="326"/>
      <c r="V2087" s="328"/>
      <c r="W2087" s="323"/>
      <c r="X2087" s="323"/>
      <c r="Y2087" s="323"/>
    </row>
    <row r="2088" spans="1:25" s="1130" customFormat="1" ht="13.2" hidden="1">
      <c r="A2088" s="1319" t="s">
        <v>980</v>
      </c>
      <c r="B2088" s="1140" t="s">
        <v>15</v>
      </c>
      <c r="C2088" s="1141">
        <v>36</v>
      </c>
      <c r="D2088" s="1142">
        <v>59</v>
      </c>
      <c r="E2088" s="1142">
        <v>137</v>
      </c>
      <c r="F2088" s="1142">
        <v>134</v>
      </c>
      <c r="G2088" s="1142">
        <v>188</v>
      </c>
      <c r="H2088" s="1142">
        <v>240</v>
      </c>
      <c r="I2088" s="1142">
        <v>216</v>
      </c>
      <c r="J2088" s="1142">
        <v>190</v>
      </c>
      <c r="K2088" s="1142">
        <v>118</v>
      </c>
      <c r="L2088" s="1142">
        <v>86</v>
      </c>
      <c r="M2088" s="1142">
        <v>36</v>
      </c>
      <c r="N2088" s="1143">
        <v>28</v>
      </c>
      <c r="O2088" s="1144">
        <v>1075</v>
      </c>
      <c r="P2088" s="323"/>
      <c r="Q2088" s="323"/>
      <c r="R2088" s="326"/>
      <c r="S2088" s="326"/>
      <c r="T2088" s="327"/>
      <c r="U2088" s="326"/>
      <c r="V2088" s="328"/>
      <c r="W2088" s="323"/>
      <c r="X2088" s="323"/>
      <c r="Y2088" s="323"/>
    </row>
    <row r="2089" spans="1:25" s="1130" customFormat="1" ht="13.2" hidden="1">
      <c r="A2089" s="1320"/>
      <c r="B2089" s="1140" t="s">
        <v>16</v>
      </c>
      <c r="C2089" s="1141">
        <v>37</v>
      </c>
      <c r="D2089" s="1142">
        <v>57</v>
      </c>
      <c r="E2089" s="1142">
        <v>135</v>
      </c>
      <c r="F2089" s="1142">
        <v>125</v>
      </c>
      <c r="G2089" s="1142">
        <v>176</v>
      </c>
      <c r="H2089" s="1142">
        <v>225</v>
      </c>
      <c r="I2089" s="1142">
        <v>203</v>
      </c>
      <c r="J2089" s="1142">
        <v>181</v>
      </c>
      <c r="K2089" s="1142">
        <v>112</v>
      </c>
      <c r="L2089" s="1142">
        <v>82</v>
      </c>
      <c r="M2089" s="1142">
        <v>34</v>
      </c>
      <c r="N2089" s="1143">
        <v>27</v>
      </c>
      <c r="O2089" s="1144">
        <v>1021</v>
      </c>
      <c r="P2089" s="323"/>
      <c r="Q2089" s="323"/>
      <c r="R2089" s="326"/>
      <c r="S2089" s="326"/>
      <c r="T2089" s="327"/>
      <c r="U2089" s="326"/>
      <c r="V2089" s="328"/>
      <c r="W2089" s="323"/>
      <c r="X2089" s="323"/>
      <c r="Y2089" s="323"/>
    </row>
    <row r="2090" spans="1:25" s="1130" customFormat="1" ht="13.2" hidden="1">
      <c r="A2090" s="1320"/>
      <c r="B2090" s="1140" t="s">
        <v>17</v>
      </c>
      <c r="C2090" s="1141">
        <v>35</v>
      </c>
      <c r="D2090" s="1142">
        <v>53</v>
      </c>
      <c r="E2090" s="1142">
        <v>128</v>
      </c>
      <c r="F2090" s="1142">
        <v>114</v>
      </c>
      <c r="G2090" s="1142">
        <v>160</v>
      </c>
      <c r="H2090" s="1142">
        <v>205</v>
      </c>
      <c r="I2090" s="1142">
        <v>185</v>
      </c>
      <c r="J2090" s="1142">
        <v>168</v>
      </c>
      <c r="K2090" s="1142">
        <v>103</v>
      </c>
      <c r="L2090" s="1142">
        <v>76</v>
      </c>
      <c r="M2090" s="1142">
        <v>31</v>
      </c>
      <c r="N2090" s="1143">
        <v>26</v>
      </c>
      <c r="O2090" s="1144">
        <v>942</v>
      </c>
      <c r="P2090" s="323"/>
      <c r="Q2090" s="323"/>
      <c r="R2090" s="326"/>
      <c r="S2090" s="326"/>
      <c r="T2090" s="327"/>
      <c r="U2090" s="326"/>
      <c r="V2090" s="328"/>
      <c r="W2090" s="323"/>
      <c r="X2090" s="323"/>
      <c r="Y2090" s="323"/>
    </row>
    <row r="2091" spans="1:25" s="1130" customFormat="1" ht="13.2" hidden="1">
      <c r="A2091" s="1321"/>
      <c r="B2091" s="1137" t="s">
        <v>18</v>
      </c>
      <c r="C2091" s="1134">
        <v>30</v>
      </c>
      <c r="D2091" s="1135">
        <v>43</v>
      </c>
      <c r="E2091" s="1135">
        <v>104</v>
      </c>
      <c r="F2091" s="1135">
        <v>86</v>
      </c>
      <c r="G2091" s="1135">
        <v>120</v>
      </c>
      <c r="H2091" s="1135">
        <v>154</v>
      </c>
      <c r="I2091" s="1135">
        <v>140</v>
      </c>
      <c r="J2091" s="1135">
        <v>129</v>
      </c>
      <c r="K2091" s="1135">
        <v>79</v>
      </c>
      <c r="L2091" s="1135">
        <v>60</v>
      </c>
      <c r="M2091" s="1135">
        <v>24</v>
      </c>
      <c r="N2091" s="1136">
        <v>21</v>
      </c>
      <c r="O2091" s="1145">
        <v>726</v>
      </c>
      <c r="P2091" s="323"/>
      <c r="Q2091" s="323"/>
      <c r="R2091" s="326"/>
      <c r="S2091" s="326"/>
      <c r="T2091" s="327"/>
      <c r="U2091" s="326"/>
      <c r="V2091" s="328"/>
      <c r="W2091" s="323"/>
      <c r="X2091" s="323"/>
      <c r="Y2091" s="323"/>
    </row>
    <row r="2092" spans="1:25" s="1130" customFormat="1" ht="13.2" hidden="1">
      <c r="A2092" s="1319" t="s">
        <v>981</v>
      </c>
      <c r="B2092" s="1140" t="s">
        <v>15</v>
      </c>
      <c r="C2092" s="1141">
        <v>28</v>
      </c>
      <c r="D2092" s="1142">
        <v>51</v>
      </c>
      <c r="E2092" s="1142">
        <v>110</v>
      </c>
      <c r="F2092" s="1142">
        <v>125</v>
      </c>
      <c r="G2092" s="1142">
        <v>170</v>
      </c>
      <c r="H2092" s="1142">
        <v>215</v>
      </c>
      <c r="I2092" s="1142">
        <v>194</v>
      </c>
      <c r="J2092" s="1142">
        <v>165</v>
      </c>
      <c r="K2092" s="1142">
        <v>105</v>
      </c>
      <c r="L2092" s="1142">
        <v>85</v>
      </c>
      <c r="M2092" s="1142">
        <v>36</v>
      </c>
      <c r="N2092" s="1143">
        <v>25</v>
      </c>
      <c r="O2092" s="1144">
        <v>957</v>
      </c>
      <c r="P2092" s="323"/>
      <c r="Q2092" s="323"/>
      <c r="R2092" s="326"/>
      <c r="S2092" s="326"/>
      <c r="T2092" s="327"/>
      <c r="U2092" s="326"/>
      <c r="V2092" s="328"/>
      <c r="W2092" s="323"/>
      <c r="X2092" s="323"/>
      <c r="Y2092" s="323"/>
    </row>
    <row r="2093" spans="1:25" s="1130" customFormat="1" ht="13.2" hidden="1">
      <c r="A2093" s="1320"/>
      <c r="B2093" s="1140" t="s">
        <v>16</v>
      </c>
      <c r="C2093" s="1141">
        <v>26</v>
      </c>
      <c r="D2093" s="1142">
        <v>47</v>
      </c>
      <c r="E2093" s="1142">
        <v>100</v>
      </c>
      <c r="F2093" s="1142">
        <v>114</v>
      </c>
      <c r="G2093" s="1142">
        <v>153</v>
      </c>
      <c r="H2093" s="1142">
        <v>193</v>
      </c>
      <c r="I2093" s="1142">
        <v>176</v>
      </c>
      <c r="J2093" s="1142">
        <v>149</v>
      </c>
      <c r="K2093" s="1142">
        <v>95</v>
      </c>
      <c r="L2093" s="1142">
        <v>81</v>
      </c>
      <c r="M2093" s="1142">
        <v>35</v>
      </c>
      <c r="N2093" s="1143">
        <v>23</v>
      </c>
      <c r="O2093" s="1144">
        <v>872</v>
      </c>
      <c r="P2093" s="323"/>
      <c r="Q2093" s="323"/>
      <c r="R2093" s="326"/>
      <c r="S2093" s="326"/>
      <c r="T2093" s="327"/>
      <c r="U2093" s="326"/>
      <c r="V2093" s="328"/>
      <c r="W2093" s="323"/>
      <c r="X2093" s="323"/>
      <c r="Y2093" s="323"/>
    </row>
    <row r="2094" spans="1:25" s="1130" customFormat="1" ht="13.2" hidden="1">
      <c r="A2094" s="1320"/>
      <c r="B2094" s="1140" t="s">
        <v>17</v>
      </c>
      <c r="C2094" s="1141">
        <v>24</v>
      </c>
      <c r="D2094" s="1142">
        <v>42</v>
      </c>
      <c r="E2094" s="1142">
        <v>90</v>
      </c>
      <c r="F2094" s="1142">
        <v>102</v>
      </c>
      <c r="G2094" s="1142">
        <v>135</v>
      </c>
      <c r="H2094" s="1142">
        <v>170</v>
      </c>
      <c r="I2094" s="1142">
        <v>156</v>
      </c>
      <c r="J2094" s="1142">
        <v>132</v>
      </c>
      <c r="K2094" s="1142">
        <v>85</v>
      </c>
      <c r="L2094" s="1142">
        <v>75</v>
      </c>
      <c r="M2094" s="1142">
        <v>32</v>
      </c>
      <c r="N2094" s="1143">
        <v>21</v>
      </c>
      <c r="O2094" s="1144">
        <v>779</v>
      </c>
      <c r="P2094" s="323"/>
      <c r="Q2094" s="323"/>
      <c r="R2094" s="326"/>
      <c r="S2094" s="326"/>
      <c r="T2094" s="327"/>
      <c r="U2094" s="326"/>
      <c r="V2094" s="328"/>
      <c r="W2094" s="323"/>
      <c r="X2094" s="323"/>
      <c r="Y2094" s="323"/>
    </row>
    <row r="2095" spans="1:25" s="1130" customFormat="1" ht="13.2" hidden="1">
      <c r="A2095" s="1321"/>
      <c r="B2095" s="1137" t="s">
        <v>18</v>
      </c>
      <c r="C2095" s="1134">
        <v>18</v>
      </c>
      <c r="D2095" s="1135">
        <v>31</v>
      </c>
      <c r="E2095" s="1135">
        <v>68</v>
      </c>
      <c r="F2095" s="1135">
        <v>74</v>
      </c>
      <c r="G2095" s="1135">
        <v>98</v>
      </c>
      <c r="H2095" s="1135">
        <v>124</v>
      </c>
      <c r="I2095" s="1135">
        <v>114</v>
      </c>
      <c r="J2095" s="1135">
        <v>97</v>
      </c>
      <c r="K2095" s="1135">
        <v>62</v>
      </c>
      <c r="L2095" s="1135">
        <v>59</v>
      </c>
      <c r="M2095" s="1135">
        <v>25</v>
      </c>
      <c r="N2095" s="1136">
        <v>16</v>
      </c>
      <c r="O2095" s="1145">
        <v>576</v>
      </c>
      <c r="P2095" s="323"/>
      <c r="Q2095" s="323"/>
      <c r="R2095" s="326"/>
      <c r="S2095" s="326"/>
      <c r="T2095" s="327"/>
      <c r="U2095" s="326"/>
      <c r="V2095" s="328"/>
      <c r="W2095" s="323"/>
      <c r="X2095" s="323"/>
      <c r="Y2095" s="323"/>
    </row>
    <row r="2096" spans="1:25" s="1130" customFormat="1" ht="13.2" hidden="1">
      <c r="A2096" s="1319" t="s">
        <v>3361</v>
      </c>
      <c r="B2096" s="1140" t="s">
        <v>15</v>
      </c>
      <c r="C2096" s="1141">
        <v>20</v>
      </c>
      <c r="D2096" s="1142">
        <v>38</v>
      </c>
      <c r="E2096" s="1142">
        <v>82</v>
      </c>
      <c r="F2096" s="1142">
        <v>108</v>
      </c>
      <c r="G2096" s="1142">
        <v>154</v>
      </c>
      <c r="H2096" s="1142">
        <v>199</v>
      </c>
      <c r="I2096" s="1142">
        <v>177</v>
      </c>
      <c r="J2096" s="1142">
        <v>142</v>
      </c>
      <c r="K2096" s="1142">
        <v>85</v>
      </c>
      <c r="L2096" s="1142">
        <v>57</v>
      </c>
      <c r="M2096" s="1142">
        <v>26</v>
      </c>
      <c r="N2096" s="1143">
        <v>15</v>
      </c>
      <c r="O2096" s="1144">
        <v>807</v>
      </c>
      <c r="P2096" s="323"/>
      <c r="Q2096" s="323"/>
      <c r="R2096" s="326"/>
      <c r="S2096" s="326"/>
      <c r="T2096" s="327"/>
      <c r="U2096" s="326"/>
      <c r="V2096" s="328"/>
      <c r="W2096" s="323"/>
      <c r="X2096" s="323"/>
      <c r="Y2096" s="323"/>
    </row>
    <row r="2097" spans="1:25" s="1130" customFormat="1" ht="13.2" hidden="1">
      <c r="A2097" s="1320"/>
      <c r="B2097" s="1140" t="s">
        <v>16</v>
      </c>
      <c r="C2097" s="1141">
        <v>18</v>
      </c>
      <c r="D2097" s="1142">
        <v>32</v>
      </c>
      <c r="E2097" s="1142">
        <v>66</v>
      </c>
      <c r="F2097" s="1142">
        <v>91</v>
      </c>
      <c r="G2097" s="1142">
        <v>129</v>
      </c>
      <c r="H2097" s="1142">
        <v>166</v>
      </c>
      <c r="I2097" s="1142">
        <v>148</v>
      </c>
      <c r="J2097" s="1142">
        <v>116</v>
      </c>
      <c r="K2097" s="1142">
        <v>70</v>
      </c>
      <c r="L2097" s="1142">
        <v>46</v>
      </c>
      <c r="M2097" s="1142">
        <v>23</v>
      </c>
      <c r="N2097" s="1143">
        <v>13</v>
      </c>
      <c r="O2097" s="1144">
        <v>674</v>
      </c>
      <c r="P2097" s="323"/>
      <c r="Q2097" s="323"/>
      <c r="R2097" s="326"/>
      <c r="S2097" s="326"/>
      <c r="T2097" s="327"/>
      <c r="U2097" s="326"/>
      <c r="V2097" s="328"/>
      <c r="W2097" s="323"/>
      <c r="X2097" s="323"/>
      <c r="Y2097" s="323"/>
    </row>
    <row r="2098" spans="1:25" s="1130" customFormat="1" ht="13.2" hidden="1">
      <c r="A2098" s="1320"/>
      <c r="B2098" s="1140" t="s">
        <v>17</v>
      </c>
      <c r="C2098" s="1141">
        <v>16</v>
      </c>
      <c r="D2098" s="1142">
        <v>28</v>
      </c>
      <c r="E2098" s="1142">
        <v>57</v>
      </c>
      <c r="F2098" s="1142">
        <v>77</v>
      </c>
      <c r="G2098" s="1142">
        <v>108</v>
      </c>
      <c r="H2098" s="1142">
        <v>139</v>
      </c>
      <c r="I2098" s="1142">
        <v>124</v>
      </c>
      <c r="J2098" s="1142">
        <v>98</v>
      </c>
      <c r="K2098" s="1142">
        <v>60</v>
      </c>
      <c r="L2098" s="1142">
        <v>40</v>
      </c>
      <c r="M2098" s="1142">
        <v>20</v>
      </c>
      <c r="N2098" s="1143">
        <v>12</v>
      </c>
      <c r="O2098" s="1144">
        <v>570</v>
      </c>
      <c r="P2098" s="323"/>
      <c r="Q2098" s="323"/>
      <c r="R2098" s="326"/>
      <c r="S2098" s="326"/>
      <c r="T2098" s="327"/>
      <c r="U2098" s="326"/>
      <c r="V2098" s="328"/>
      <c r="W2098" s="323"/>
      <c r="X2098" s="323"/>
      <c r="Y2098" s="323"/>
    </row>
    <row r="2099" spans="1:25" s="1130" customFormat="1" ht="13.2" hidden="1">
      <c r="A2099" s="1321"/>
      <c r="B2099" s="1137" t="s">
        <v>18</v>
      </c>
      <c r="C2099" s="1134">
        <v>12</v>
      </c>
      <c r="D2099" s="1135">
        <v>22</v>
      </c>
      <c r="E2099" s="1135">
        <v>44</v>
      </c>
      <c r="F2099" s="1135">
        <v>56</v>
      </c>
      <c r="G2099" s="1135">
        <v>77</v>
      </c>
      <c r="H2099" s="1135">
        <v>100</v>
      </c>
      <c r="I2099" s="1135">
        <v>89</v>
      </c>
      <c r="J2099" s="1135">
        <v>72</v>
      </c>
      <c r="K2099" s="1135">
        <v>44</v>
      </c>
      <c r="L2099" s="1135">
        <v>32</v>
      </c>
      <c r="M2099" s="1135">
        <v>16</v>
      </c>
      <c r="N2099" s="1136">
        <v>10</v>
      </c>
      <c r="O2099" s="1145">
        <v>421</v>
      </c>
      <c r="P2099" s="323"/>
      <c r="Q2099" s="323"/>
      <c r="R2099" s="326"/>
      <c r="S2099" s="326"/>
      <c r="T2099" s="327"/>
      <c r="U2099" s="326"/>
      <c r="V2099" s="328"/>
      <c r="W2099" s="323"/>
      <c r="X2099" s="323"/>
      <c r="Y2099" s="323"/>
    </row>
    <row r="2100" spans="1:25" s="1130" customFormat="1" ht="13.2" hidden="1">
      <c r="A2100" s="1319" t="s">
        <v>3362</v>
      </c>
      <c r="B2100" s="1140" t="s">
        <v>15</v>
      </c>
      <c r="C2100" s="1141">
        <v>21</v>
      </c>
      <c r="D2100" s="1142">
        <v>42</v>
      </c>
      <c r="E2100" s="1142">
        <v>99</v>
      </c>
      <c r="F2100" s="1142">
        <v>115</v>
      </c>
      <c r="G2100" s="1142">
        <v>168</v>
      </c>
      <c r="H2100" s="1142">
        <v>219</v>
      </c>
      <c r="I2100" s="1142">
        <v>195</v>
      </c>
      <c r="J2100" s="1142">
        <v>162</v>
      </c>
      <c r="K2100" s="1142">
        <v>94</v>
      </c>
      <c r="L2100" s="1142">
        <v>57</v>
      </c>
      <c r="M2100" s="1142">
        <v>26</v>
      </c>
      <c r="N2100" s="1143">
        <v>16</v>
      </c>
      <c r="O2100" s="1144">
        <v>890</v>
      </c>
      <c r="P2100" s="323"/>
      <c r="Q2100" s="323"/>
      <c r="R2100" s="326"/>
      <c r="S2100" s="326"/>
      <c r="T2100" s="327"/>
      <c r="U2100" s="326"/>
      <c r="V2100" s="328"/>
      <c r="W2100" s="323"/>
      <c r="X2100" s="323"/>
      <c r="Y2100" s="323"/>
    </row>
    <row r="2101" spans="1:25" s="1130" customFormat="1" ht="13.2" hidden="1">
      <c r="A2101" s="1320"/>
      <c r="B2101" s="1140" t="s">
        <v>16</v>
      </c>
      <c r="C2101" s="1141">
        <v>19</v>
      </c>
      <c r="D2101" s="1142">
        <v>36</v>
      </c>
      <c r="E2101" s="1142">
        <v>85</v>
      </c>
      <c r="F2101" s="1142">
        <v>100</v>
      </c>
      <c r="G2101" s="1142">
        <v>147</v>
      </c>
      <c r="H2101" s="1142">
        <v>193</v>
      </c>
      <c r="I2101" s="1142">
        <v>171</v>
      </c>
      <c r="J2101" s="1142">
        <v>141</v>
      </c>
      <c r="K2101" s="1142">
        <v>81</v>
      </c>
      <c r="L2101" s="1142">
        <v>47</v>
      </c>
      <c r="M2101" s="1142">
        <v>23</v>
      </c>
      <c r="N2101" s="1143">
        <v>14</v>
      </c>
      <c r="O2101" s="1144">
        <v>774</v>
      </c>
      <c r="P2101" s="323"/>
      <c r="Q2101" s="323"/>
      <c r="R2101" s="326"/>
      <c r="S2101" s="326"/>
      <c r="T2101" s="327"/>
      <c r="U2101" s="326"/>
      <c r="V2101" s="328"/>
      <c r="W2101" s="323"/>
      <c r="X2101" s="323"/>
      <c r="Y2101" s="323"/>
    </row>
    <row r="2102" spans="1:25" s="1130" customFormat="1" ht="13.2" hidden="1">
      <c r="A2102" s="1320"/>
      <c r="B2102" s="1140" t="s">
        <v>17</v>
      </c>
      <c r="C2102" s="1141">
        <v>17</v>
      </c>
      <c r="D2102" s="1142">
        <v>32</v>
      </c>
      <c r="E2102" s="1142">
        <v>75</v>
      </c>
      <c r="F2102" s="1142">
        <v>87</v>
      </c>
      <c r="G2102" s="1142">
        <v>127</v>
      </c>
      <c r="H2102" s="1142">
        <v>167</v>
      </c>
      <c r="I2102" s="1142">
        <v>149</v>
      </c>
      <c r="J2102" s="1142">
        <v>122</v>
      </c>
      <c r="K2102" s="1142">
        <v>70</v>
      </c>
      <c r="L2102" s="1142">
        <v>41</v>
      </c>
      <c r="M2102" s="1142">
        <v>20</v>
      </c>
      <c r="N2102" s="1143">
        <v>12</v>
      </c>
      <c r="O2102" s="1144">
        <v>673</v>
      </c>
      <c r="P2102" s="323"/>
      <c r="Q2102" s="323"/>
      <c r="R2102" s="326"/>
      <c r="S2102" s="326"/>
      <c r="T2102" s="327"/>
      <c r="U2102" s="326"/>
      <c r="V2102" s="328"/>
      <c r="W2102" s="323"/>
      <c r="X2102" s="323"/>
      <c r="Y2102" s="323"/>
    </row>
    <row r="2103" spans="1:25" s="1130" customFormat="1" ht="13.2" hidden="1">
      <c r="A2103" s="1321"/>
      <c r="B2103" s="1137" t="s">
        <v>18</v>
      </c>
      <c r="C2103" s="1134">
        <v>13</v>
      </c>
      <c r="D2103" s="1135">
        <v>25</v>
      </c>
      <c r="E2103" s="1135">
        <v>59</v>
      </c>
      <c r="F2103" s="1135">
        <v>64</v>
      </c>
      <c r="G2103" s="1135">
        <v>92</v>
      </c>
      <c r="H2103" s="1135">
        <v>122</v>
      </c>
      <c r="I2103" s="1135">
        <v>110</v>
      </c>
      <c r="J2103" s="1135">
        <v>91</v>
      </c>
      <c r="K2103" s="1135">
        <v>52</v>
      </c>
      <c r="L2103" s="1135">
        <v>32</v>
      </c>
      <c r="M2103" s="1135">
        <v>15</v>
      </c>
      <c r="N2103" s="1136">
        <v>10</v>
      </c>
      <c r="O2103" s="1145">
        <v>503</v>
      </c>
      <c r="P2103" s="323"/>
      <c r="Q2103" s="323"/>
      <c r="R2103" s="326"/>
      <c r="S2103" s="326"/>
      <c r="T2103" s="327"/>
      <c r="U2103" s="326"/>
      <c r="V2103" s="328"/>
      <c r="W2103" s="323"/>
      <c r="X2103" s="323"/>
      <c r="Y2103" s="323"/>
    </row>
    <row r="2104" spans="1:25" s="1130" customFormat="1" ht="13.2" hidden="1">
      <c r="A2104" s="1319" t="s">
        <v>12</v>
      </c>
      <c r="B2104" s="1140" t="s">
        <v>15</v>
      </c>
      <c r="C2104" s="1141">
        <v>19</v>
      </c>
      <c r="D2104" s="1142">
        <v>33</v>
      </c>
      <c r="E2104" s="1142">
        <v>72</v>
      </c>
      <c r="F2104" s="1142">
        <v>103</v>
      </c>
      <c r="G2104" s="1142">
        <v>154</v>
      </c>
      <c r="H2104" s="1142">
        <v>203</v>
      </c>
      <c r="I2104" s="1142">
        <v>179</v>
      </c>
      <c r="J2104" s="1142">
        <v>140</v>
      </c>
      <c r="K2104" s="1142">
        <v>79</v>
      </c>
      <c r="L2104" s="1142">
        <v>41</v>
      </c>
      <c r="M2104" s="1142">
        <v>23</v>
      </c>
      <c r="N2104" s="1143">
        <v>14</v>
      </c>
      <c r="O2104" s="1144">
        <v>776</v>
      </c>
      <c r="P2104" s="323"/>
      <c r="Q2104" s="323"/>
      <c r="R2104" s="326"/>
      <c r="S2104" s="326"/>
      <c r="T2104" s="327"/>
      <c r="U2104" s="326"/>
      <c r="V2104" s="328"/>
      <c r="W2104" s="323"/>
      <c r="X2104" s="323"/>
      <c r="Y2104" s="323"/>
    </row>
    <row r="2105" spans="1:25" s="1130" customFormat="1" ht="13.2" hidden="1">
      <c r="A2105" s="1320"/>
      <c r="B2105" s="1140" t="s">
        <v>16</v>
      </c>
      <c r="C2105" s="1141">
        <v>17</v>
      </c>
      <c r="D2105" s="1142">
        <v>30</v>
      </c>
      <c r="E2105" s="1142">
        <v>51</v>
      </c>
      <c r="F2105" s="1142">
        <v>79</v>
      </c>
      <c r="G2105" s="1142">
        <v>124</v>
      </c>
      <c r="H2105" s="1142">
        <v>168</v>
      </c>
      <c r="I2105" s="1142">
        <v>146</v>
      </c>
      <c r="J2105" s="1142">
        <v>107</v>
      </c>
      <c r="K2105" s="1142">
        <v>57</v>
      </c>
      <c r="L2105" s="1142">
        <v>34</v>
      </c>
      <c r="M2105" s="1142">
        <v>21</v>
      </c>
      <c r="N2105" s="1143">
        <v>13</v>
      </c>
      <c r="O2105" s="1144">
        <v>621</v>
      </c>
      <c r="P2105" s="323"/>
      <c r="Q2105" s="323"/>
      <c r="R2105" s="326"/>
      <c r="S2105" s="326"/>
      <c r="T2105" s="327"/>
      <c r="U2105" s="326"/>
      <c r="V2105" s="328"/>
      <c r="W2105" s="323"/>
      <c r="X2105" s="323"/>
      <c r="Y2105" s="323"/>
    </row>
    <row r="2106" spans="1:25" s="1130" customFormat="1" ht="13.2" hidden="1">
      <c r="A2106" s="1320"/>
      <c r="B2106" s="1140" t="s">
        <v>17</v>
      </c>
      <c r="C2106" s="1141">
        <v>15</v>
      </c>
      <c r="D2106" s="1142">
        <v>27</v>
      </c>
      <c r="E2106" s="1142">
        <v>46</v>
      </c>
      <c r="F2106" s="1142">
        <v>64</v>
      </c>
      <c r="G2106" s="1142">
        <v>92</v>
      </c>
      <c r="H2106" s="1142">
        <v>127</v>
      </c>
      <c r="I2106" s="1142">
        <v>109</v>
      </c>
      <c r="J2106" s="1142">
        <v>78</v>
      </c>
      <c r="K2106" s="1142">
        <v>50</v>
      </c>
      <c r="L2106" s="1142">
        <v>32</v>
      </c>
      <c r="M2106" s="1142">
        <v>19</v>
      </c>
      <c r="N2106" s="1143">
        <v>12</v>
      </c>
      <c r="O2106" s="1144">
        <v>491</v>
      </c>
      <c r="P2106" s="323"/>
      <c r="Q2106" s="323"/>
      <c r="R2106" s="326"/>
      <c r="S2106" s="326"/>
      <c r="T2106" s="327"/>
      <c r="U2106" s="326"/>
      <c r="V2106" s="328"/>
      <c r="W2106" s="323"/>
      <c r="X2106" s="323"/>
      <c r="Y2106" s="323"/>
    </row>
    <row r="2107" spans="1:25" s="1130" customFormat="1" ht="13.2" hidden="1">
      <c r="A2107" s="1321"/>
      <c r="B2107" s="1137" t="s">
        <v>18</v>
      </c>
      <c r="C2107" s="1134">
        <v>12</v>
      </c>
      <c r="D2107" s="1135">
        <v>21</v>
      </c>
      <c r="E2107" s="1135">
        <v>40</v>
      </c>
      <c r="F2107" s="1135">
        <v>49</v>
      </c>
      <c r="G2107" s="1135">
        <v>65</v>
      </c>
      <c r="H2107" s="1135">
        <v>85</v>
      </c>
      <c r="I2107" s="1135">
        <v>76</v>
      </c>
      <c r="J2107" s="1135">
        <v>61</v>
      </c>
      <c r="K2107" s="1135">
        <v>39</v>
      </c>
      <c r="L2107" s="1135">
        <v>26</v>
      </c>
      <c r="M2107" s="1135">
        <v>15</v>
      </c>
      <c r="N2107" s="1136">
        <v>10</v>
      </c>
      <c r="O2107" s="1145">
        <v>365</v>
      </c>
      <c r="P2107" s="323"/>
      <c r="Q2107" s="323"/>
      <c r="R2107" s="326"/>
      <c r="S2107" s="326"/>
      <c r="T2107" s="327"/>
      <c r="U2107" s="326"/>
      <c r="V2107" s="328"/>
      <c r="W2107" s="323"/>
      <c r="X2107" s="323"/>
      <c r="Y2107" s="323"/>
    </row>
    <row r="2108" spans="1:25" s="1130" customFormat="1" ht="39.6" hidden="1">
      <c r="A2108" s="1146"/>
      <c r="B2108" s="1147"/>
      <c r="C2108" s="1375" t="s">
        <v>3363</v>
      </c>
      <c r="D2108" s="1376"/>
      <c r="E2108" s="1376"/>
      <c r="F2108" s="1376"/>
      <c r="G2108" s="1376"/>
      <c r="H2108" s="1376"/>
      <c r="I2108" s="1376"/>
      <c r="J2108" s="1376"/>
      <c r="K2108" s="1376"/>
      <c r="L2108" s="1376"/>
      <c r="M2108" s="1376"/>
      <c r="N2108" s="1377"/>
      <c r="O2108" s="1131" t="s">
        <v>3364</v>
      </c>
      <c r="P2108" s="323"/>
      <c r="Q2108" s="323"/>
      <c r="R2108" s="326"/>
      <c r="S2108" s="326"/>
      <c r="T2108" s="327"/>
      <c r="U2108" s="326"/>
      <c r="V2108" s="328"/>
      <c r="W2108" s="323"/>
      <c r="X2108" s="323"/>
      <c r="Y2108" s="323"/>
    </row>
    <row r="2109" spans="1:25" s="1130" customFormat="1" ht="12.75" hidden="1" customHeight="1">
      <c r="A2109" s="1148" t="s">
        <v>1894</v>
      </c>
      <c r="B2109" s="1149"/>
      <c r="C2109" s="1150">
        <v>2.4</v>
      </c>
      <c r="D2109" s="1151">
        <v>3.6</v>
      </c>
      <c r="E2109" s="1151">
        <v>7.1</v>
      </c>
      <c r="F2109" s="1151">
        <v>10.6</v>
      </c>
      <c r="G2109" s="1151">
        <v>15.6</v>
      </c>
      <c r="H2109" s="1151">
        <v>18.100000000000001</v>
      </c>
      <c r="I2109" s="1151">
        <v>20.100000000000001</v>
      </c>
      <c r="J2109" s="1151">
        <v>20.2</v>
      </c>
      <c r="K2109" s="1151">
        <v>15.7</v>
      </c>
      <c r="L2109" s="1151">
        <v>11</v>
      </c>
      <c r="M2109" s="1151">
        <v>5.7</v>
      </c>
      <c r="N2109" s="1152">
        <v>3.1</v>
      </c>
      <c r="O2109" s="1153">
        <v>11.1</v>
      </c>
      <c r="P2109" s="323"/>
      <c r="Q2109" s="323"/>
      <c r="R2109" s="326"/>
      <c r="S2109" s="326"/>
      <c r="T2109" s="327"/>
      <c r="U2109" s="326"/>
      <c r="V2109" s="328"/>
      <c r="W2109" s="323"/>
      <c r="X2109" s="323"/>
      <c r="Y2109" s="323"/>
    </row>
    <row r="2110" spans="1:25" s="1130" customFormat="1" ht="13.2" hidden="1">
      <c r="P2110" s="1155"/>
      <c r="Q2110" s="1129"/>
    </row>
    <row r="2111" spans="1:25" s="1130" customFormat="1" ht="13.2" hidden="1">
      <c r="P2111" s="1155"/>
      <c r="Q2111" s="1129"/>
    </row>
    <row r="2112" spans="1:25" s="1130" customFormat="1" ht="13.2" hidden="1">
      <c r="A2112" s="1129" t="s">
        <v>3387</v>
      </c>
      <c r="Q2112" s="1129"/>
    </row>
    <row r="2113" spans="1:25" s="1130" customFormat="1" ht="13.2" hidden="1">
      <c r="Q2113" s="1129"/>
    </row>
    <row r="2114" spans="1:25" s="1130" customFormat="1" ht="66" hidden="1">
      <c r="A2114" s="1314" t="s">
        <v>3388</v>
      </c>
      <c r="B2114" s="1315"/>
      <c r="C2114" s="1316" t="s">
        <v>3355</v>
      </c>
      <c r="D2114" s="1317"/>
      <c r="E2114" s="1317"/>
      <c r="F2114" s="1317"/>
      <c r="G2114" s="1317"/>
      <c r="H2114" s="1317"/>
      <c r="I2114" s="1317"/>
      <c r="J2114" s="1317"/>
      <c r="K2114" s="1317"/>
      <c r="L2114" s="1317"/>
      <c r="M2114" s="1317"/>
      <c r="N2114" s="1318"/>
      <c r="O2114" s="1131" t="s">
        <v>3356</v>
      </c>
      <c r="P2114" s="323"/>
      <c r="Q2114" s="1156">
        <v>13</v>
      </c>
      <c r="R2114" s="326"/>
      <c r="S2114" s="326"/>
      <c r="T2114" s="327"/>
      <c r="U2114" s="326"/>
      <c r="V2114" s="328"/>
      <c r="W2114" s="323"/>
      <c r="X2114" s="323"/>
      <c r="Y2114" s="323"/>
    </row>
    <row r="2115" spans="1:25" s="1130" customFormat="1" ht="13.2" hidden="1">
      <c r="A2115" s="1132" t="s">
        <v>77</v>
      </c>
      <c r="B2115" s="1133" t="s">
        <v>1795</v>
      </c>
      <c r="C2115" s="1134" t="s">
        <v>116</v>
      </c>
      <c r="D2115" s="1135" t="s">
        <v>117</v>
      </c>
      <c r="E2115" s="1135" t="s">
        <v>118</v>
      </c>
      <c r="F2115" s="1135" t="s">
        <v>119</v>
      </c>
      <c r="G2115" s="1135" t="s">
        <v>120</v>
      </c>
      <c r="H2115" s="1135" t="s">
        <v>121</v>
      </c>
      <c r="I2115" s="1135" t="s">
        <v>122</v>
      </c>
      <c r="J2115" s="1135" t="s">
        <v>123</v>
      </c>
      <c r="K2115" s="1135" t="s">
        <v>124</v>
      </c>
      <c r="L2115" s="1135" t="s">
        <v>125</v>
      </c>
      <c r="M2115" s="1135" t="s">
        <v>126</v>
      </c>
      <c r="N2115" s="1136" t="s">
        <v>127</v>
      </c>
      <c r="O2115" s="1137" t="s">
        <v>3357</v>
      </c>
      <c r="P2115" s="323"/>
      <c r="Q2115" s="323"/>
      <c r="R2115" s="326"/>
      <c r="S2115" s="326"/>
      <c r="T2115" s="327"/>
      <c r="U2115" s="326"/>
      <c r="V2115" s="328"/>
      <c r="W2115" s="323"/>
      <c r="X2115" s="323"/>
      <c r="Y2115" s="323"/>
    </row>
    <row r="2116" spans="1:25" s="1130" customFormat="1" ht="13.2" hidden="1">
      <c r="A2116" s="1138" t="s">
        <v>3358</v>
      </c>
      <c r="B2116" s="1137" t="s">
        <v>14</v>
      </c>
      <c r="C2116" s="1134">
        <v>43</v>
      </c>
      <c r="D2116" s="1135">
        <v>53</v>
      </c>
      <c r="E2116" s="1135">
        <v>107</v>
      </c>
      <c r="F2116" s="1135">
        <v>141</v>
      </c>
      <c r="G2116" s="1135">
        <v>216</v>
      </c>
      <c r="H2116" s="1135">
        <v>219</v>
      </c>
      <c r="I2116" s="1135">
        <v>218</v>
      </c>
      <c r="J2116" s="1135">
        <v>185</v>
      </c>
      <c r="K2116" s="1135">
        <v>134</v>
      </c>
      <c r="L2116" s="1135">
        <v>85</v>
      </c>
      <c r="M2116" s="1135">
        <v>40</v>
      </c>
      <c r="N2116" s="1136">
        <v>25</v>
      </c>
      <c r="O2116" s="1139">
        <v>1074</v>
      </c>
      <c r="P2116" s="323"/>
      <c r="Q2116" s="323"/>
      <c r="R2116" s="326"/>
      <c r="S2116" s="326"/>
      <c r="T2116" s="327"/>
      <c r="U2116" s="326"/>
      <c r="V2116" s="328"/>
      <c r="W2116" s="323"/>
      <c r="X2116" s="323"/>
      <c r="Y2116" s="323"/>
    </row>
    <row r="2117" spans="1:25" s="1130" customFormat="1" ht="13.2" hidden="1">
      <c r="A2117" s="1319" t="s">
        <v>11</v>
      </c>
      <c r="B2117" s="1140" t="s">
        <v>15</v>
      </c>
      <c r="C2117" s="1141">
        <v>65</v>
      </c>
      <c r="D2117" s="1142">
        <v>65</v>
      </c>
      <c r="E2117" s="1142">
        <v>123</v>
      </c>
      <c r="F2117" s="1142">
        <v>148</v>
      </c>
      <c r="G2117" s="1142">
        <v>219</v>
      </c>
      <c r="H2117" s="1142">
        <v>215</v>
      </c>
      <c r="I2117" s="1142">
        <v>217</v>
      </c>
      <c r="J2117" s="1142">
        <v>194</v>
      </c>
      <c r="K2117" s="1142">
        <v>150</v>
      </c>
      <c r="L2117" s="1142">
        <v>108</v>
      </c>
      <c r="M2117" s="1142">
        <v>49</v>
      </c>
      <c r="N2117" s="1143">
        <v>34</v>
      </c>
      <c r="O2117" s="1144">
        <v>1163</v>
      </c>
      <c r="P2117" s="323"/>
      <c r="Q2117" s="323"/>
      <c r="R2117" s="326"/>
      <c r="S2117" s="326"/>
      <c r="T2117" s="327"/>
      <c r="U2117" s="326"/>
      <c r="V2117" s="328"/>
      <c r="W2117" s="323"/>
      <c r="X2117" s="323"/>
      <c r="Y2117" s="323"/>
    </row>
    <row r="2118" spans="1:25" s="1130" customFormat="1" ht="13.2" hidden="1">
      <c r="A2118" s="1320"/>
      <c r="B2118" s="1140" t="s">
        <v>16</v>
      </c>
      <c r="C2118" s="1141">
        <v>72</v>
      </c>
      <c r="D2118" s="1142">
        <v>67</v>
      </c>
      <c r="E2118" s="1142">
        <v>123</v>
      </c>
      <c r="F2118" s="1142">
        <v>141</v>
      </c>
      <c r="G2118" s="1142">
        <v>205</v>
      </c>
      <c r="H2118" s="1142">
        <v>198</v>
      </c>
      <c r="I2118" s="1142">
        <v>203</v>
      </c>
      <c r="J2118" s="1142">
        <v>186</v>
      </c>
      <c r="K2118" s="1142">
        <v>149</v>
      </c>
      <c r="L2118" s="1142">
        <v>112</v>
      </c>
      <c r="M2118" s="1142">
        <v>51</v>
      </c>
      <c r="N2118" s="1143">
        <v>37</v>
      </c>
      <c r="O2118" s="1144">
        <v>1131</v>
      </c>
      <c r="P2118" s="323"/>
      <c r="Q2118" s="323"/>
      <c r="R2118" s="326"/>
      <c r="S2118" s="326"/>
      <c r="T2118" s="327"/>
      <c r="U2118" s="326"/>
      <c r="V2118" s="328"/>
      <c r="W2118" s="323"/>
      <c r="X2118" s="323"/>
      <c r="Y2118" s="323"/>
    </row>
    <row r="2119" spans="1:25" s="1130" customFormat="1" ht="13.2" hidden="1">
      <c r="A2119" s="1320"/>
      <c r="B2119" s="1140" t="s">
        <v>17</v>
      </c>
      <c r="C2119" s="1141">
        <v>75</v>
      </c>
      <c r="D2119" s="1142">
        <v>65</v>
      </c>
      <c r="E2119" s="1142">
        <v>118</v>
      </c>
      <c r="F2119" s="1142">
        <v>129</v>
      </c>
      <c r="G2119" s="1142">
        <v>183</v>
      </c>
      <c r="H2119" s="1142">
        <v>175</v>
      </c>
      <c r="I2119" s="1142">
        <v>180</v>
      </c>
      <c r="J2119" s="1142">
        <v>169</v>
      </c>
      <c r="K2119" s="1142">
        <v>140</v>
      </c>
      <c r="L2119" s="1142">
        <v>110</v>
      </c>
      <c r="M2119" s="1142">
        <v>51</v>
      </c>
      <c r="N2119" s="1143">
        <v>38</v>
      </c>
      <c r="O2119" s="1144">
        <v>1050</v>
      </c>
      <c r="P2119" s="323"/>
      <c r="Q2119" s="323"/>
      <c r="R2119" s="326"/>
      <c r="S2119" s="326"/>
      <c r="T2119" s="327"/>
      <c r="U2119" s="326"/>
      <c r="V2119" s="328"/>
      <c r="W2119" s="323"/>
      <c r="X2119" s="323"/>
      <c r="Y2119" s="323"/>
    </row>
    <row r="2120" spans="1:25" s="1130" customFormat="1" ht="13.2" hidden="1">
      <c r="A2120" s="1321"/>
      <c r="B2120" s="1137" t="s">
        <v>18</v>
      </c>
      <c r="C2120" s="1134">
        <v>70</v>
      </c>
      <c r="D2120" s="1135">
        <v>55</v>
      </c>
      <c r="E2120" s="1135">
        <v>92</v>
      </c>
      <c r="F2120" s="1135">
        <v>93</v>
      </c>
      <c r="G2120" s="1135">
        <v>123</v>
      </c>
      <c r="H2120" s="1135">
        <v>115</v>
      </c>
      <c r="I2120" s="1135">
        <v>120</v>
      </c>
      <c r="J2120" s="1135">
        <v>119</v>
      </c>
      <c r="K2120" s="1135">
        <v>107</v>
      </c>
      <c r="L2120" s="1135">
        <v>92</v>
      </c>
      <c r="M2120" s="1135">
        <v>43</v>
      </c>
      <c r="N2120" s="1136">
        <v>34</v>
      </c>
      <c r="O2120" s="1145">
        <v>779</v>
      </c>
      <c r="P2120" s="323"/>
      <c r="Q2120" s="323"/>
      <c r="R2120" s="326"/>
      <c r="S2120" s="326"/>
      <c r="T2120" s="327"/>
      <c r="U2120" s="326"/>
      <c r="V2120" s="328"/>
      <c r="W2120" s="323"/>
      <c r="X2120" s="323"/>
      <c r="Y2120" s="323"/>
    </row>
    <row r="2121" spans="1:25" s="1130" customFormat="1" ht="13.2" hidden="1">
      <c r="A2121" s="1319" t="s">
        <v>3359</v>
      </c>
      <c r="B2121" s="1140" t="s">
        <v>15</v>
      </c>
      <c r="C2121" s="1141">
        <v>61</v>
      </c>
      <c r="D2121" s="1142">
        <v>63</v>
      </c>
      <c r="E2121" s="1142">
        <v>122</v>
      </c>
      <c r="F2121" s="1142">
        <v>148</v>
      </c>
      <c r="G2121" s="1142">
        <v>225</v>
      </c>
      <c r="H2121" s="1142">
        <v>216</v>
      </c>
      <c r="I2121" s="1142">
        <v>221</v>
      </c>
      <c r="J2121" s="1142">
        <v>195</v>
      </c>
      <c r="K2121" s="1142">
        <v>148</v>
      </c>
      <c r="L2121" s="1142">
        <v>104</v>
      </c>
      <c r="M2121" s="1142">
        <v>48</v>
      </c>
      <c r="N2121" s="1143">
        <v>32</v>
      </c>
      <c r="O2121" s="1144">
        <v>1160</v>
      </c>
      <c r="P2121" s="323"/>
      <c r="Q2121" s="323"/>
      <c r="R2121" s="326"/>
      <c r="S2121" s="326"/>
      <c r="T2121" s="327"/>
      <c r="U2121" s="326"/>
      <c r="V2121" s="328"/>
      <c r="W2121" s="323"/>
      <c r="X2121" s="323"/>
      <c r="Y2121" s="323"/>
    </row>
    <row r="2122" spans="1:25" s="1130" customFormat="1" ht="13.2" hidden="1">
      <c r="A2122" s="1320"/>
      <c r="B2122" s="1140" t="s">
        <v>16</v>
      </c>
      <c r="C2122" s="1141">
        <v>66</v>
      </c>
      <c r="D2122" s="1142">
        <v>64</v>
      </c>
      <c r="E2122" s="1142">
        <v>122</v>
      </c>
      <c r="F2122" s="1142">
        <v>143</v>
      </c>
      <c r="G2122" s="1142">
        <v>215</v>
      </c>
      <c r="H2122" s="1142">
        <v>202</v>
      </c>
      <c r="I2122" s="1142">
        <v>209</v>
      </c>
      <c r="J2122" s="1142">
        <v>188</v>
      </c>
      <c r="K2122" s="1142">
        <v>146</v>
      </c>
      <c r="L2122" s="1142">
        <v>106</v>
      </c>
      <c r="M2122" s="1142">
        <v>49</v>
      </c>
      <c r="N2122" s="1143">
        <v>34</v>
      </c>
      <c r="O2122" s="1144">
        <v>1130</v>
      </c>
      <c r="P2122" s="323"/>
      <c r="Q2122" s="323"/>
      <c r="R2122" s="326"/>
      <c r="S2122" s="326"/>
      <c r="T2122" s="327"/>
      <c r="U2122" s="326"/>
      <c r="V2122" s="328"/>
      <c r="W2122" s="323"/>
      <c r="X2122" s="323"/>
      <c r="Y2122" s="323"/>
    </row>
    <row r="2123" spans="1:25" s="1130" customFormat="1" ht="13.2" hidden="1">
      <c r="A2123" s="1320"/>
      <c r="B2123" s="1140" t="s">
        <v>17</v>
      </c>
      <c r="C2123" s="1141">
        <v>68</v>
      </c>
      <c r="D2123" s="1142">
        <v>62</v>
      </c>
      <c r="E2123" s="1142">
        <v>117</v>
      </c>
      <c r="F2123" s="1142">
        <v>132</v>
      </c>
      <c r="G2123" s="1142">
        <v>197</v>
      </c>
      <c r="H2123" s="1142">
        <v>181</v>
      </c>
      <c r="I2123" s="1142">
        <v>189</v>
      </c>
      <c r="J2123" s="1142">
        <v>173</v>
      </c>
      <c r="K2123" s="1142">
        <v>138</v>
      </c>
      <c r="L2123" s="1142">
        <v>104</v>
      </c>
      <c r="M2123" s="1142">
        <v>48</v>
      </c>
      <c r="N2123" s="1143">
        <v>35</v>
      </c>
      <c r="O2123" s="1144">
        <v>1056</v>
      </c>
      <c r="P2123" s="323"/>
      <c r="Q2123" s="323"/>
      <c r="R2123" s="326"/>
      <c r="S2123" s="326"/>
      <c r="T2123" s="327"/>
      <c r="U2123" s="326"/>
      <c r="V2123" s="328"/>
      <c r="W2123" s="323"/>
      <c r="X2123" s="323"/>
      <c r="Y2123" s="323"/>
    </row>
    <row r="2124" spans="1:25" s="1130" customFormat="1" ht="13.2" hidden="1">
      <c r="A2124" s="1321"/>
      <c r="B2124" s="1137" t="s">
        <v>18</v>
      </c>
      <c r="C2124" s="1134">
        <v>61</v>
      </c>
      <c r="D2124" s="1135">
        <v>51</v>
      </c>
      <c r="E2124" s="1135">
        <v>93</v>
      </c>
      <c r="F2124" s="1135">
        <v>99</v>
      </c>
      <c r="G2124" s="1135">
        <v>144</v>
      </c>
      <c r="H2124" s="1135">
        <v>127</v>
      </c>
      <c r="I2124" s="1135">
        <v>136</v>
      </c>
      <c r="J2124" s="1135">
        <v>128</v>
      </c>
      <c r="K2124" s="1135">
        <v>106</v>
      </c>
      <c r="L2124" s="1135">
        <v>85</v>
      </c>
      <c r="M2124" s="1135">
        <v>40</v>
      </c>
      <c r="N2124" s="1136">
        <v>31</v>
      </c>
      <c r="O2124" s="1145">
        <v>807</v>
      </c>
      <c r="P2124" s="323"/>
      <c r="Q2124" s="323"/>
      <c r="R2124" s="326"/>
      <c r="S2124" s="326"/>
      <c r="T2124" s="327"/>
      <c r="U2124" s="326"/>
      <c r="V2124" s="328"/>
      <c r="W2124" s="323"/>
      <c r="X2124" s="323"/>
      <c r="Y2124" s="323"/>
    </row>
    <row r="2125" spans="1:25" s="1130" customFormat="1" ht="13.2" hidden="1">
      <c r="A2125" s="1319" t="s">
        <v>3360</v>
      </c>
      <c r="B2125" s="1140" t="s">
        <v>15</v>
      </c>
      <c r="C2125" s="1141">
        <v>54</v>
      </c>
      <c r="D2125" s="1142">
        <v>58</v>
      </c>
      <c r="E2125" s="1142">
        <v>111</v>
      </c>
      <c r="F2125" s="1142">
        <v>138</v>
      </c>
      <c r="G2125" s="1142">
        <v>206</v>
      </c>
      <c r="H2125" s="1142">
        <v>208</v>
      </c>
      <c r="I2125" s="1142">
        <v>207</v>
      </c>
      <c r="J2125" s="1142">
        <v>182</v>
      </c>
      <c r="K2125" s="1142">
        <v>138</v>
      </c>
      <c r="L2125" s="1142">
        <v>95</v>
      </c>
      <c r="M2125" s="1142">
        <v>44</v>
      </c>
      <c r="N2125" s="1143">
        <v>29</v>
      </c>
      <c r="O2125" s="1144">
        <v>1077</v>
      </c>
      <c r="P2125" s="323"/>
      <c r="Q2125" s="323"/>
      <c r="R2125" s="326"/>
      <c r="S2125" s="326"/>
      <c r="T2125" s="327"/>
      <c r="U2125" s="326"/>
      <c r="V2125" s="328"/>
      <c r="W2125" s="323"/>
      <c r="X2125" s="323"/>
      <c r="Y2125" s="323"/>
    </row>
    <row r="2126" spans="1:25" s="1130" customFormat="1" ht="13.2" hidden="1">
      <c r="A2126" s="1320"/>
      <c r="B2126" s="1140" t="s">
        <v>16</v>
      </c>
      <c r="C2126" s="1141">
        <v>56</v>
      </c>
      <c r="D2126" s="1142">
        <v>57</v>
      </c>
      <c r="E2126" s="1142">
        <v>107</v>
      </c>
      <c r="F2126" s="1142">
        <v>129</v>
      </c>
      <c r="G2126" s="1142">
        <v>191</v>
      </c>
      <c r="H2126" s="1142">
        <v>192</v>
      </c>
      <c r="I2126" s="1142">
        <v>191</v>
      </c>
      <c r="J2126" s="1142">
        <v>171</v>
      </c>
      <c r="K2126" s="1142">
        <v>133</v>
      </c>
      <c r="L2126" s="1142">
        <v>95</v>
      </c>
      <c r="M2126" s="1142">
        <v>43</v>
      </c>
      <c r="N2126" s="1143">
        <v>29</v>
      </c>
      <c r="O2126" s="1144">
        <v>1021</v>
      </c>
      <c r="P2126" s="323"/>
      <c r="Q2126" s="323"/>
      <c r="R2126" s="326"/>
      <c r="S2126" s="326"/>
      <c r="T2126" s="327"/>
      <c r="U2126" s="326"/>
      <c r="V2126" s="328"/>
      <c r="W2126" s="323"/>
      <c r="X2126" s="323"/>
      <c r="Y2126" s="323"/>
    </row>
    <row r="2127" spans="1:25" s="1130" customFormat="1" ht="13.2" hidden="1">
      <c r="A2127" s="1320"/>
      <c r="B2127" s="1140" t="s">
        <v>17</v>
      </c>
      <c r="C2127" s="1141">
        <v>56</v>
      </c>
      <c r="D2127" s="1142">
        <v>54</v>
      </c>
      <c r="E2127" s="1142">
        <v>99</v>
      </c>
      <c r="F2127" s="1142">
        <v>116</v>
      </c>
      <c r="G2127" s="1142">
        <v>170</v>
      </c>
      <c r="H2127" s="1142">
        <v>170</v>
      </c>
      <c r="I2127" s="1142">
        <v>170</v>
      </c>
      <c r="J2127" s="1142">
        <v>155</v>
      </c>
      <c r="K2127" s="1142">
        <v>122</v>
      </c>
      <c r="L2127" s="1142">
        <v>90</v>
      </c>
      <c r="M2127" s="1142">
        <v>41</v>
      </c>
      <c r="N2127" s="1143">
        <v>29</v>
      </c>
      <c r="O2127" s="1144">
        <v>932</v>
      </c>
      <c r="P2127" s="323"/>
      <c r="Q2127" s="323"/>
      <c r="R2127" s="326"/>
      <c r="S2127" s="326"/>
      <c r="T2127" s="327"/>
      <c r="U2127" s="326"/>
      <c r="V2127" s="328"/>
      <c r="W2127" s="323"/>
      <c r="X2127" s="323"/>
      <c r="Y2127" s="323"/>
    </row>
    <row r="2128" spans="1:25" s="1130" customFormat="1" ht="13.2" hidden="1">
      <c r="A2128" s="1321"/>
      <c r="B2128" s="1137" t="s">
        <v>18</v>
      </c>
      <c r="C2128" s="1134">
        <v>48</v>
      </c>
      <c r="D2128" s="1135">
        <v>42</v>
      </c>
      <c r="E2128" s="1135">
        <v>74</v>
      </c>
      <c r="F2128" s="1135">
        <v>84</v>
      </c>
      <c r="G2128" s="1135">
        <v>121</v>
      </c>
      <c r="H2128" s="1135">
        <v>118</v>
      </c>
      <c r="I2128" s="1135">
        <v>119</v>
      </c>
      <c r="J2128" s="1135">
        <v>111</v>
      </c>
      <c r="K2128" s="1135">
        <v>91</v>
      </c>
      <c r="L2128" s="1135">
        <v>71</v>
      </c>
      <c r="M2128" s="1135">
        <v>33</v>
      </c>
      <c r="N2128" s="1136">
        <v>24</v>
      </c>
      <c r="O2128" s="1145">
        <v>685</v>
      </c>
      <c r="P2128" s="323"/>
      <c r="Q2128" s="323"/>
      <c r="R2128" s="326"/>
      <c r="S2128" s="326"/>
      <c r="T2128" s="327"/>
      <c r="U2128" s="326"/>
      <c r="V2128" s="328"/>
      <c r="W2128" s="323"/>
      <c r="X2128" s="323"/>
      <c r="Y2128" s="323"/>
    </row>
    <row r="2129" spans="1:25" s="1130" customFormat="1" ht="13.2" hidden="1">
      <c r="A2129" s="1319" t="s">
        <v>980</v>
      </c>
      <c r="B2129" s="1140" t="s">
        <v>15</v>
      </c>
      <c r="C2129" s="1141">
        <v>45</v>
      </c>
      <c r="D2129" s="1142">
        <v>53</v>
      </c>
      <c r="E2129" s="1142">
        <v>107</v>
      </c>
      <c r="F2129" s="1142">
        <v>138</v>
      </c>
      <c r="G2129" s="1142">
        <v>216</v>
      </c>
      <c r="H2129" s="1142">
        <v>210</v>
      </c>
      <c r="I2129" s="1142">
        <v>213</v>
      </c>
      <c r="J2129" s="1142">
        <v>182</v>
      </c>
      <c r="K2129" s="1142">
        <v>132</v>
      </c>
      <c r="L2129" s="1142">
        <v>85</v>
      </c>
      <c r="M2129" s="1142">
        <v>40</v>
      </c>
      <c r="N2129" s="1143">
        <v>25</v>
      </c>
      <c r="O2129" s="1144">
        <v>1060</v>
      </c>
      <c r="P2129" s="323"/>
      <c r="Q2129" s="323"/>
      <c r="R2129" s="326"/>
      <c r="S2129" s="326"/>
      <c r="T2129" s="327"/>
      <c r="U2129" s="326"/>
      <c r="V2129" s="328"/>
      <c r="W2129" s="323"/>
      <c r="X2129" s="323"/>
      <c r="Y2129" s="323"/>
    </row>
    <row r="2130" spans="1:25" s="1130" customFormat="1" ht="13.2" hidden="1">
      <c r="A2130" s="1320"/>
      <c r="B2130" s="1140" t="s">
        <v>16</v>
      </c>
      <c r="C2130" s="1141">
        <v>44</v>
      </c>
      <c r="D2130" s="1142">
        <v>50</v>
      </c>
      <c r="E2130" s="1142">
        <v>103</v>
      </c>
      <c r="F2130" s="1142">
        <v>130</v>
      </c>
      <c r="G2130" s="1142">
        <v>205</v>
      </c>
      <c r="H2130" s="1142">
        <v>195</v>
      </c>
      <c r="I2130" s="1142">
        <v>200</v>
      </c>
      <c r="J2130" s="1142">
        <v>172</v>
      </c>
      <c r="K2130" s="1142">
        <v>124</v>
      </c>
      <c r="L2130" s="1142">
        <v>82</v>
      </c>
      <c r="M2130" s="1142">
        <v>38</v>
      </c>
      <c r="N2130" s="1143">
        <v>24</v>
      </c>
      <c r="O2130" s="1144">
        <v>1002</v>
      </c>
      <c r="P2130" s="323"/>
      <c r="Q2130" s="323"/>
      <c r="R2130" s="326"/>
      <c r="S2130" s="326"/>
      <c r="T2130" s="327"/>
      <c r="U2130" s="326"/>
      <c r="V2130" s="328"/>
      <c r="W2130" s="323"/>
      <c r="X2130" s="323"/>
      <c r="Y2130" s="323"/>
    </row>
    <row r="2131" spans="1:25" s="1130" customFormat="1" ht="13.2" hidden="1">
      <c r="A2131" s="1320"/>
      <c r="B2131" s="1140" t="s">
        <v>17</v>
      </c>
      <c r="C2131" s="1141">
        <v>42</v>
      </c>
      <c r="D2131" s="1142">
        <v>46</v>
      </c>
      <c r="E2131" s="1142">
        <v>95</v>
      </c>
      <c r="F2131" s="1142">
        <v>119</v>
      </c>
      <c r="G2131" s="1142">
        <v>189</v>
      </c>
      <c r="H2131" s="1142">
        <v>176</v>
      </c>
      <c r="I2131" s="1142">
        <v>182</v>
      </c>
      <c r="J2131" s="1142">
        <v>158</v>
      </c>
      <c r="K2131" s="1142">
        <v>114</v>
      </c>
      <c r="L2131" s="1142">
        <v>76</v>
      </c>
      <c r="M2131" s="1142">
        <v>35</v>
      </c>
      <c r="N2131" s="1143">
        <v>23</v>
      </c>
      <c r="O2131" s="1144">
        <v>921</v>
      </c>
      <c r="P2131" s="323"/>
      <c r="Q2131" s="323"/>
      <c r="R2131" s="326"/>
      <c r="S2131" s="326"/>
      <c r="T2131" s="327"/>
      <c r="U2131" s="326"/>
      <c r="V2131" s="328"/>
      <c r="W2131" s="323"/>
      <c r="X2131" s="323"/>
      <c r="Y2131" s="323"/>
    </row>
    <row r="2132" spans="1:25" s="1130" customFormat="1" ht="13.2" hidden="1">
      <c r="A2132" s="1321"/>
      <c r="B2132" s="1137" t="s">
        <v>18</v>
      </c>
      <c r="C2132" s="1134">
        <v>35</v>
      </c>
      <c r="D2132" s="1135">
        <v>36</v>
      </c>
      <c r="E2132" s="1135">
        <v>74</v>
      </c>
      <c r="F2132" s="1135">
        <v>89</v>
      </c>
      <c r="G2132" s="1135">
        <v>146</v>
      </c>
      <c r="H2132" s="1135">
        <v>130</v>
      </c>
      <c r="I2132" s="1135">
        <v>137</v>
      </c>
      <c r="J2132" s="1135">
        <v>121</v>
      </c>
      <c r="K2132" s="1135">
        <v>88</v>
      </c>
      <c r="L2132" s="1135">
        <v>60</v>
      </c>
      <c r="M2132" s="1135">
        <v>28</v>
      </c>
      <c r="N2132" s="1136">
        <v>18</v>
      </c>
      <c r="O2132" s="1145">
        <v>705</v>
      </c>
      <c r="P2132" s="323"/>
      <c r="Q2132" s="323"/>
      <c r="R2132" s="326"/>
      <c r="S2132" s="326"/>
      <c r="T2132" s="327"/>
      <c r="U2132" s="326"/>
      <c r="V2132" s="328"/>
      <c r="W2132" s="323"/>
      <c r="X2132" s="323"/>
      <c r="Y2132" s="323"/>
    </row>
    <row r="2133" spans="1:25" s="1130" customFormat="1" ht="13.2" hidden="1">
      <c r="A2133" s="1319" t="s">
        <v>981</v>
      </c>
      <c r="B2133" s="1140" t="s">
        <v>15</v>
      </c>
      <c r="C2133" s="1141">
        <v>38</v>
      </c>
      <c r="D2133" s="1142">
        <v>47</v>
      </c>
      <c r="E2133" s="1142">
        <v>94</v>
      </c>
      <c r="F2133" s="1142">
        <v>124</v>
      </c>
      <c r="G2133" s="1142">
        <v>189</v>
      </c>
      <c r="H2133" s="1142">
        <v>197</v>
      </c>
      <c r="I2133" s="1142">
        <v>193</v>
      </c>
      <c r="J2133" s="1142">
        <v>164</v>
      </c>
      <c r="K2133" s="1142">
        <v>119</v>
      </c>
      <c r="L2133" s="1142">
        <v>76</v>
      </c>
      <c r="M2133" s="1142">
        <v>36</v>
      </c>
      <c r="N2133" s="1143">
        <v>22</v>
      </c>
      <c r="O2133" s="1144">
        <v>952</v>
      </c>
      <c r="P2133" s="323"/>
      <c r="Q2133" s="323"/>
      <c r="R2133" s="326"/>
      <c r="S2133" s="326"/>
      <c r="T2133" s="327"/>
      <c r="U2133" s="326"/>
      <c r="V2133" s="328"/>
      <c r="W2133" s="323"/>
      <c r="X2133" s="323"/>
      <c r="Y2133" s="323"/>
    </row>
    <row r="2134" spans="1:25" s="1130" customFormat="1" ht="13.2" hidden="1">
      <c r="A2134" s="1320"/>
      <c r="B2134" s="1140" t="s">
        <v>16</v>
      </c>
      <c r="C2134" s="1141">
        <v>36</v>
      </c>
      <c r="D2134" s="1142">
        <v>43</v>
      </c>
      <c r="E2134" s="1142">
        <v>85</v>
      </c>
      <c r="F2134" s="1142">
        <v>112</v>
      </c>
      <c r="G2134" s="1142">
        <v>171</v>
      </c>
      <c r="H2134" s="1142">
        <v>179</v>
      </c>
      <c r="I2134" s="1142">
        <v>174</v>
      </c>
      <c r="J2134" s="1142">
        <v>149</v>
      </c>
      <c r="K2134" s="1142">
        <v>108</v>
      </c>
      <c r="L2134" s="1142">
        <v>70</v>
      </c>
      <c r="M2134" s="1142">
        <v>33</v>
      </c>
      <c r="N2134" s="1143">
        <v>20</v>
      </c>
      <c r="O2134" s="1144">
        <v>866</v>
      </c>
      <c r="P2134" s="323"/>
      <c r="Q2134" s="323"/>
      <c r="R2134" s="326"/>
      <c r="S2134" s="326"/>
      <c r="T2134" s="327"/>
      <c r="U2134" s="326"/>
      <c r="V2134" s="328"/>
      <c r="W2134" s="323"/>
      <c r="X2134" s="323"/>
      <c r="Y2134" s="323"/>
    </row>
    <row r="2135" spans="1:25" s="1130" customFormat="1" ht="13.2" hidden="1">
      <c r="A2135" s="1320"/>
      <c r="B2135" s="1140" t="s">
        <v>17</v>
      </c>
      <c r="C2135" s="1141">
        <v>32</v>
      </c>
      <c r="D2135" s="1142">
        <v>39</v>
      </c>
      <c r="E2135" s="1142">
        <v>76</v>
      </c>
      <c r="F2135" s="1142">
        <v>99</v>
      </c>
      <c r="G2135" s="1142">
        <v>152</v>
      </c>
      <c r="H2135" s="1142">
        <v>159</v>
      </c>
      <c r="I2135" s="1142">
        <v>154</v>
      </c>
      <c r="J2135" s="1142">
        <v>133</v>
      </c>
      <c r="K2135" s="1142">
        <v>97</v>
      </c>
      <c r="L2135" s="1142">
        <v>63</v>
      </c>
      <c r="M2135" s="1142">
        <v>29</v>
      </c>
      <c r="N2135" s="1143">
        <v>18</v>
      </c>
      <c r="O2135" s="1144">
        <v>770</v>
      </c>
      <c r="P2135" s="323"/>
      <c r="Q2135" s="323"/>
      <c r="R2135" s="326"/>
      <c r="S2135" s="326"/>
      <c r="T2135" s="327"/>
      <c r="U2135" s="326"/>
      <c r="V2135" s="328"/>
      <c r="W2135" s="323"/>
      <c r="X2135" s="323"/>
      <c r="Y2135" s="323"/>
    </row>
    <row r="2136" spans="1:25" s="1130" customFormat="1" ht="13.2" hidden="1">
      <c r="A2136" s="1321"/>
      <c r="B2136" s="1137" t="s">
        <v>18</v>
      </c>
      <c r="C2136" s="1134">
        <v>25</v>
      </c>
      <c r="D2136" s="1135">
        <v>29</v>
      </c>
      <c r="E2136" s="1135">
        <v>56</v>
      </c>
      <c r="F2136" s="1135">
        <v>72</v>
      </c>
      <c r="G2136" s="1135">
        <v>112</v>
      </c>
      <c r="H2136" s="1135">
        <v>114</v>
      </c>
      <c r="I2136" s="1135">
        <v>112</v>
      </c>
      <c r="J2136" s="1135">
        <v>97</v>
      </c>
      <c r="K2136" s="1135">
        <v>71</v>
      </c>
      <c r="L2136" s="1135">
        <v>47</v>
      </c>
      <c r="M2136" s="1135">
        <v>22</v>
      </c>
      <c r="N2136" s="1136">
        <v>13</v>
      </c>
      <c r="O2136" s="1145">
        <v>566</v>
      </c>
      <c r="P2136" s="323"/>
      <c r="Q2136" s="323"/>
      <c r="R2136" s="326"/>
      <c r="S2136" s="326"/>
      <c r="T2136" s="327"/>
      <c r="U2136" s="326"/>
      <c r="V2136" s="328"/>
      <c r="W2136" s="323"/>
      <c r="X2136" s="323"/>
      <c r="Y2136" s="323"/>
    </row>
    <row r="2137" spans="1:25" s="1130" customFormat="1" ht="13.2" hidden="1">
      <c r="A2137" s="1319" t="s">
        <v>3361</v>
      </c>
      <c r="B2137" s="1140" t="s">
        <v>15</v>
      </c>
      <c r="C2137" s="1141">
        <v>27</v>
      </c>
      <c r="D2137" s="1142">
        <v>39</v>
      </c>
      <c r="E2137" s="1142">
        <v>78</v>
      </c>
      <c r="F2137" s="1142">
        <v>112</v>
      </c>
      <c r="G2137" s="1142">
        <v>174</v>
      </c>
      <c r="H2137" s="1142">
        <v>187</v>
      </c>
      <c r="I2137" s="1142">
        <v>180</v>
      </c>
      <c r="J2137" s="1142">
        <v>147</v>
      </c>
      <c r="K2137" s="1142">
        <v>101</v>
      </c>
      <c r="L2137" s="1142">
        <v>59</v>
      </c>
      <c r="M2137" s="1142">
        <v>30</v>
      </c>
      <c r="N2137" s="1143">
        <v>17</v>
      </c>
      <c r="O2137" s="1144">
        <v>843</v>
      </c>
      <c r="P2137" s="323"/>
      <c r="Q2137" s="323"/>
      <c r="R2137" s="326"/>
      <c r="S2137" s="326"/>
      <c r="T2137" s="327"/>
      <c r="U2137" s="326"/>
      <c r="V2137" s="328"/>
      <c r="W2137" s="323"/>
      <c r="X2137" s="323"/>
      <c r="Y2137" s="323"/>
    </row>
    <row r="2138" spans="1:25" s="1130" customFormat="1" ht="13.2" hidden="1">
      <c r="A2138" s="1320"/>
      <c r="B2138" s="1140" t="s">
        <v>16</v>
      </c>
      <c r="C2138" s="1141">
        <v>24</v>
      </c>
      <c r="D2138" s="1142">
        <v>34</v>
      </c>
      <c r="E2138" s="1142">
        <v>66</v>
      </c>
      <c r="F2138" s="1142">
        <v>96</v>
      </c>
      <c r="G2138" s="1142">
        <v>148</v>
      </c>
      <c r="H2138" s="1142">
        <v>162</v>
      </c>
      <c r="I2138" s="1142">
        <v>154</v>
      </c>
      <c r="J2138" s="1142">
        <v>125</v>
      </c>
      <c r="K2138" s="1142">
        <v>86</v>
      </c>
      <c r="L2138" s="1142">
        <v>50</v>
      </c>
      <c r="M2138" s="1142">
        <v>26</v>
      </c>
      <c r="N2138" s="1143">
        <v>15</v>
      </c>
      <c r="O2138" s="1144">
        <v>722</v>
      </c>
      <c r="P2138" s="323"/>
      <c r="Q2138" s="323"/>
      <c r="R2138" s="326"/>
      <c r="S2138" s="326"/>
      <c r="T2138" s="327"/>
      <c r="U2138" s="326"/>
      <c r="V2138" s="328"/>
      <c r="W2138" s="323"/>
      <c r="X2138" s="323"/>
      <c r="Y2138" s="323"/>
    </row>
    <row r="2139" spans="1:25" s="1130" customFormat="1" ht="13.2" hidden="1">
      <c r="A2139" s="1320"/>
      <c r="B2139" s="1140" t="s">
        <v>17</v>
      </c>
      <c r="C2139" s="1141">
        <v>21</v>
      </c>
      <c r="D2139" s="1142">
        <v>30</v>
      </c>
      <c r="E2139" s="1142">
        <v>57</v>
      </c>
      <c r="F2139" s="1142">
        <v>82</v>
      </c>
      <c r="G2139" s="1142">
        <v>126</v>
      </c>
      <c r="H2139" s="1142">
        <v>138</v>
      </c>
      <c r="I2139" s="1142">
        <v>131</v>
      </c>
      <c r="J2139" s="1142">
        <v>106</v>
      </c>
      <c r="K2139" s="1142">
        <v>74</v>
      </c>
      <c r="L2139" s="1142">
        <v>44</v>
      </c>
      <c r="M2139" s="1142">
        <v>23</v>
      </c>
      <c r="N2139" s="1143">
        <v>14</v>
      </c>
      <c r="O2139" s="1144">
        <v>619</v>
      </c>
      <c r="P2139" s="323"/>
      <c r="Q2139" s="323"/>
      <c r="R2139" s="326"/>
      <c r="S2139" s="326"/>
      <c r="T2139" s="327"/>
      <c r="U2139" s="326"/>
      <c r="V2139" s="328"/>
      <c r="W2139" s="323"/>
      <c r="X2139" s="323"/>
      <c r="Y2139" s="323"/>
    </row>
    <row r="2140" spans="1:25" s="1130" customFormat="1" ht="13.2" hidden="1">
      <c r="A2140" s="1321"/>
      <c r="B2140" s="1137" t="s">
        <v>18</v>
      </c>
      <c r="C2140" s="1134">
        <v>17</v>
      </c>
      <c r="D2140" s="1135">
        <v>22</v>
      </c>
      <c r="E2140" s="1135">
        <v>43</v>
      </c>
      <c r="F2140" s="1135">
        <v>60</v>
      </c>
      <c r="G2140" s="1135">
        <v>92</v>
      </c>
      <c r="H2140" s="1135">
        <v>98</v>
      </c>
      <c r="I2140" s="1135">
        <v>94</v>
      </c>
      <c r="J2140" s="1135">
        <v>77</v>
      </c>
      <c r="K2140" s="1135">
        <v>55</v>
      </c>
      <c r="L2140" s="1135">
        <v>34</v>
      </c>
      <c r="M2140" s="1135">
        <v>17</v>
      </c>
      <c r="N2140" s="1136">
        <v>10</v>
      </c>
      <c r="O2140" s="1145">
        <v>453</v>
      </c>
      <c r="P2140" s="323"/>
      <c r="Q2140" s="323"/>
      <c r="R2140" s="326"/>
      <c r="S2140" s="326"/>
      <c r="T2140" s="327"/>
      <c r="U2140" s="326"/>
      <c r="V2140" s="328"/>
      <c r="W2140" s="323"/>
      <c r="X2140" s="323"/>
      <c r="Y2140" s="323"/>
    </row>
    <row r="2141" spans="1:25" s="1130" customFormat="1" ht="13.2" hidden="1">
      <c r="A2141" s="1319" t="s">
        <v>3362</v>
      </c>
      <c r="B2141" s="1140" t="s">
        <v>15</v>
      </c>
      <c r="C2141" s="1141">
        <v>29</v>
      </c>
      <c r="D2141" s="1142">
        <v>41</v>
      </c>
      <c r="E2141" s="1142">
        <v>87</v>
      </c>
      <c r="F2141" s="1142">
        <v>122</v>
      </c>
      <c r="G2141" s="1142">
        <v>195</v>
      </c>
      <c r="H2141" s="1142">
        <v>198</v>
      </c>
      <c r="I2141" s="1142">
        <v>197</v>
      </c>
      <c r="J2141" s="1142">
        <v>161</v>
      </c>
      <c r="K2141" s="1142">
        <v>110</v>
      </c>
      <c r="L2141" s="1142">
        <v>64</v>
      </c>
      <c r="M2141" s="1142">
        <v>31</v>
      </c>
      <c r="N2141" s="1143">
        <v>18</v>
      </c>
      <c r="O2141" s="1144">
        <v>919</v>
      </c>
      <c r="P2141" s="323"/>
      <c r="Q2141" s="323"/>
      <c r="R2141" s="326"/>
      <c r="S2141" s="326"/>
      <c r="T2141" s="327"/>
      <c r="U2141" s="326"/>
      <c r="V2141" s="328"/>
      <c r="W2141" s="323"/>
      <c r="X2141" s="323"/>
      <c r="Y2141" s="323"/>
    </row>
    <row r="2142" spans="1:25" s="1130" customFormat="1" ht="13.2" hidden="1">
      <c r="A2142" s="1320"/>
      <c r="B2142" s="1140" t="s">
        <v>16</v>
      </c>
      <c r="C2142" s="1141">
        <v>25</v>
      </c>
      <c r="D2142" s="1142">
        <v>36</v>
      </c>
      <c r="E2142" s="1142">
        <v>76</v>
      </c>
      <c r="F2142" s="1142">
        <v>108</v>
      </c>
      <c r="G2142" s="1142">
        <v>175</v>
      </c>
      <c r="H2142" s="1142">
        <v>176</v>
      </c>
      <c r="I2142" s="1142">
        <v>175</v>
      </c>
      <c r="J2142" s="1142">
        <v>142</v>
      </c>
      <c r="K2142" s="1142">
        <v>96</v>
      </c>
      <c r="L2142" s="1142">
        <v>55</v>
      </c>
      <c r="M2142" s="1142">
        <v>28</v>
      </c>
      <c r="N2142" s="1143">
        <v>16</v>
      </c>
      <c r="O2142" s="1144">
        <v>813</v>
      </c>
      <c r="P2142" s="323"/>
      <c r="Q2142" s="323"/>
      <c r="R2142" s="326"/>
      <c r="S2142" s="326"/>
      <c r="T2142" s="327"/>
      <c r="U2142" s="326"/>
      <c r="V2142" s="328"/>
      <c r="W2142" s="323"/>
      <c r="X2142" s="323"/>
      <c r="Y2142" s="323"/>
    </row>
    <row r="2143" spans="1:25" s="1130" customFormat="1" ht="13.2" hidden="1">
      <c r="A2143" s="1320"/>
      <c r="B2143" s="1140" t="s">
        <v>17</v>
      </c>
      <c r="C2143" s="1141">
        <v>22</v>
      </c>
      <c r="D2143" s="1142">
        <v>32</v>
      </c>
      <c r="E2143" s="1142">
        <v>67</v>
      </c>
      <c r="F2143" s="1142">
        <v>94</v>
      </c>
      <c r="G2143" s="1142">
        <v>155</v>
      </c>
      <c r="H2143" s="1142">
        <v>153</v>
      </c>
      <c r="I2143" s="1142">
        <v>153</v>
      </c>
      <c r="J2143" s="1142">
        <v>124</v>
      </c>
      <c r="K2143" s="1142">
        <v>84</v>
      </c>
      <c r="L2143" s="1142">
        <v>49</v>
      </c>
      <c r="M2143" s="1142">
        <v>24</v>
      </c>
      <c r="N2143" s="1143">
        <v>14</v>
      </c>
      <c r="O2143" s="1144">
        <v>712</v>
      </c>
      <c r="P2143" s="323"/>
      <c r="Q2143" s="323"/>
      <c r="R2143" s="326"/>
      <c r="S2143" s="326"/>
      <c r="T2143" s="327"/>
      <c r="U2143" s="326"/>
      <c r="V2143" s="328"/>
      <c r="W2143" s="323"/>
      <c r="X2143" s="323"/>
      <c r="Y2143" s="323"/>
    </row>
    <row r="2144" spans="1:25" s="1130" customFormat="1" ht="13.2" hidden="1">
      <c r="A2144" s="1321"/>
      <c r="B2144" s="1137" t="s">
        <v>18</v>
      </c>
      <c r="C2144" s="1134">
        <v>18</v>
      </c>
      <c r="D2144" s="1135">
        <v>24</v>
      </c>
      <c r="E2144" s="1135">
        <v>50</v>
      </c>
      <c r="F2144" s="1135">
        <v>69</v>
      </c>
      <c r="G2144" s="1135">
        <v>115</v>
      </c>
      <c r="H2144" s="1135">
        <v>111</v>
      </c>
      <c r="I2144" s="1135">
        <v>113</v>
      </c>
      <c r="J2144" s="1135">
        <v>93</v>
      </c>
      <c r="K2144" s="1135">
        <v>63</v>
      </c>
      <c r="L2144" s="1135">
        <v>37</v>
      </c>
      <c r="M2144" s="1135">
        <v>18</v>
      </c>
      <c r="N2144" s="1136">
        <v>11</v>
      </c>
      <c r="O2144" s="1145">
        <v>529</v>
      </c>
      <c r="P2144" s="323"/>
      <c r="Q2144" s="323"/>
      <c r="R2144" s="326"/>
      <c r="S2144" s="326"/>
      <c r="T2144" s="327"/>
      <c r="U2144" s="326"/>
      <c r="V2144" s="328"/>
      <c r="W2144" s="323"/>
      <c r="X2144" s="323"/>
      <c r="Y2144" s="323"/>
    </row>
    <row r="2145" spans="1:25" s="1130" customFormat="1" ht="13.2" hidden="1">
      <c r="A2145" s="1319" t="s">
        <v>12</v>
      </c>
      <c r="B2145" s="1140" t="s">
        <v>15</v>
      </c>
      <c r="C2145" s="1141">
        <v>25</v>
      </c>
      <c r="D2145" s="1142">
        <v>36</v>
      </c>
      <c r="E2145" s="1142">
        <v>73</v>
      </c>
      <c r="F2145" s="1142">
        <v>110</v>
      </c>
      <c r="G2145" s="1142">
        <v>177</v>
      </c>
      <c r="H2145" s="1142">
        <v>188</v>
      </c>
      <c r="I2145" s="1142">
        <v>182</v>
      </c>
      <c r="J2145" s="1142">
        <v>146</v>
      </c>
      <c r="K2145" s="1142">
        <v>96</v>
      </c>
      <c r="L2145" s="1142">
        <v>51</v>
      </c>
      <c r="M2145" s="1142">
        <v>28</v>
      </c>
      <c r="N2145" s="1143">
        <v>17</v>
      </c>
      <c r="O2145" s="1144">
        <v>828</v>
      </c>
      <c r="P2145" s="323"/>
      <c r="Q2145" s="323"/>
      <c r="R2145" s="326"/>
      <c r="S2145" s="326"/>
      <c r="T2145" s="327"/>
      <c r="U2145" s="326"/>
      <c r="V2145" s="328"/>
      <c r="W2145" s="323"/>
      <c r="X2145" s="323"/>
      <c r="Y2145" s="323"/>
    </row>
    <row r="2146" spans="1:25" s="1130" customFormat="1" ht="13.2" hidden="1">
      <c r="A2146" s="1320"/>
      <c r="B2146" s="1140" t="s">
        <v>16</v>
      </c>
      <c r="C2146" s="1141">
        <v>23</v>
      </c>
      <c r="D2146" s="1142">
        <v>32</v>
      </c>
      <c r="E2146" s="1142">
        <v>57</v>
      </c>
      <c r="F2146" s="1142">
        <v>90</v>
      </c>
      <c r="G2146" s="1142">
        <v>148</v>
      </c>
      <c r="H2146" s="1142">
        <v>161</v>
      </c>
      <c r="I2146" s="1142">
        <v>154</v>
      </c>
      <c r="J2146" s="1142">
        <v>119</v>
      </c>
      <c r="K2146" s="1142">
        <v>75</v>
      </c>
      <c r="L2146" s="1142">
        <v>44</v>
      </c>
      <c r="M2146" s="1142">
        <v>25</v>
      </c>
      <c r="N2146" s="1143">
        <v>15</v>
      </c>
      <c r="O2146" s="1144">
        <v>690</v>
      </c>
      <c r="P2146" s="323"/>
      <c r="Q2146" s="323"/>
      <c r="R2146" s="326"/>
      <c r="S2146" s="326"/>
      <c r="T2146" s="327"/>
      <c r="U2146" s="326"/>
      <c r="V2146" s="328"/>
      <c r="W2146" s="323"/>
      <c r="X2146" s="323"/>
      <c r="Y2146" s="323"/>
    </row>
    <row r="2147" spans="1:25" s="1130" customFormat="1" ht="13.2" hidden="1">
      <c r="A2147" s="1320"/>
      <c r="B2147" s="1140" t="s">
        <v>17</v>
      </c>
      <c r="C2147" s="1141">
        <v>21</v>
      </c>
      <c r="D2147" s="1142">
        <v>28</v>
      </c>
      <c r="E2147" s="1142">
        <v>51</v>
      </c>
      <c r="F2147" s="1142">
        <v>74</v>
      </c>
      <c r="G2147" s="1142">
        <v>115</v>
      </c>
      <c r="H2147" s="1142">
        <v>130</v>
      </c>
      <c r="I2147" s="1142">
        <v>122</v>
      </c>
      <c r="J2147" s="1142">
        <v>93</v>
      </c>
      <c r="K2147" s="1142">
        <v>65</v>
      </c>
      <c r="L2147" s="1142">
        <v>40</v>
      </c>
      <c r="M2147" s="1142">
        <v>23</v>
      </c>
      <c r="N2147" s="1143">
        <v>14</v>
      </c>
      <c r="O2147" s="1144">
        <v>568</v>
      </c>
      <c r="P2147" s="323"/>
      <c r="Q2147" s="323"/>
      <c r="R2147" s="326"/>
      <c r="S2147" s="326"/>
      <c r="T2147" s="327"/>
      <c r="U2147" s="326"/>
      <c r="V2147" s="328"/>
      <c r="W2147" s="323"/>
      <c r="X2147" s="323"/>
      <c r="Y2147" s="323"/>
    </row>
    <row r="2148" spans="1:25" s="1130" customFormat="1" ht="13.2" hidden="1">
      <c r="A2148" s="1321"/>
      <c r="B2148" s="1137" t="s">
        <v>18</v>
      </c>
      <c r="C2148" s="1134">
        <v>17</v>
      </c>
      <c r="D2148" s="1135">
        <v>22</v>
      </c>
      <c r="E2148" s="1135">
        <v>40</v>
      </c>
      <c r="F2148" s="1135">
        <v>55</v>
      </c>
      <c r="G2148" s="1135">
        <v>83</v>
      </c>
      <c r="H2148" s="1135">
        <v>89</v>
      </c>
      <c r="I2148" s="1135">
        <v>86</v>
      </c>
      <c r="J2148" s="1135">
        <v>70</v>
      </c>
      <c r="K2148" s="1135">
        <v>51</v>
      </c>
      <c r="L2148" s="1135">
        <v>32</v>
      </c>
      <c r="M2148" s="1135">
        <v>17</v>
      </c>
      <c r="N2148" s="1136">
        <v>10</v>
      </c>
      <c r="O2148" s="1145">
        <v>419</v>
      </c>
      <c r="P2148" s="323"/>
      <c r="Q2148" s="323"/>
      <c r="R2148" s="326"/>
      <c r="S2148" s="326"/>
      <c r="T2148" s="327"/>
      <c r="U2148" s="326"/>
      <c r="V2148" s="328"/>
      <c r="W2148" s="323"/>
      <c r="X2148" s="323"/>
      <c r="Y2148" s="323"/>
    </row>
    <row r="2149" spans="1:25" s="1130" customFormat="1" ht="39.6" hidden="1">
      <c r="A2149" s="1146"/>
      <c r="B2149" s="1147"/>
      <c r="C2149" s="1375" t="s">
        <v>3363</v>
      </c>
      <c r="D2149" s="1376"/>
      <c r="E2149" s="1376"/>
      <c r="F2149" s="1376"/>
      <c r="G2149" s="1376"/>
      <c r="H2149" s="1376"/>
      <c r="I2149" s="1376"/>
      <c r="J2149" s="1376"/>
      <c r="K2149" s="1376"/>
      <c r="L2149" s="1376"/>
      <c r="M2149" s="1376"/>
      <c r="N2149" s="1377"/>
      <c r="O2149" s="1131" t="s">
        <v>3364</v>
      </c>
      <c r="P2149" s="323"/>
      <c r="Q2149" s="323"/>
      <c r="R2149" s="326"/>
      <c r="S2149" s="326"/>
      <c r="T2149" s="327"/>
      <c r="U2149" s="326"/>
      <c r="V2149" s="328"/>
      <c r="W2149" s="323"/>
      <c r="X2149" s="323"/>
      <c r="Y2149" s="323"/>
    </row>
    <row r="2150" spans="1:25" s="1130" customFormat="1" ht="12.75" hidden="1" customHeight="1">
      <c r="A2150" s="1148" t="s">
        <v>1894</v>
      </c>
      <c r="B2150" s="1149"/>
      <c r="C2150" s="1134">
        <v>-1.2</v>
      </c>
      <c r="D2150" s="1135">
        <v>0.4</v>
      </c>
      <c r="E2150" s="1135">
        <v>4.3</v>
      </c>
      <c r="F2150" s="1135">
        <v>8.1999999999999993</v>
      </c>
      <c r="G2150" s="1135">
        <v>13.7</v>
      </c>
      <c r="H2150" s="1135">
        <v>16.399999999999999</v>
      </c>
      <c r="I2150" s="1135">
        <v>18</v>
      </c>
      <c r="J2150" s="1135">
        <v>17.8</v>
      </c>
      <c r="K2150" s="1135">
        <v>13.1</v>
      </c>
      <c r="L2150" s="1135">
        <v>8.6999999999999993</v>
      </c>
      <c r="M2150" s="1135">
        <v>3</v>
      </c>
      <c r="N2150" s="1136">
        <v>-0.2</v>
      </c>
      <c r="O2150" s="1153">
        <v>8.6</v>
      </c>
      <c r="P2150" s="323"/>
      <c r="Q2150" s="323"/>
      <c r="R2150" s="326"/>
      <c r="S2150" s="326"/>
      <c r="T2150" s="327"/>
      <c r="U2150" s="326"/>
      <c r="V2150" s="328"/>
      <c r="W2150" s="323"/>
      <c r="X2150" s="323"/>
      <c r="Y2150" s="323"/>
    </row>
    <row r="2151" spans="1:25" s="1130" customFormat="1" ht="13.2" hidden="1">
      <c r="P2151" s="1155"/>
      <c r="Q2151" s="1129"/>
    </row>
    <row r="2152" spans="1:25" s="1130" customFormat="1" ht="13.2" hidden="1">
      <c r="P2152" s="1155"/>
      <c r="Q2152" s="1129"/>
    </row>
    <row r="2153" spans="1:25" s="1130" customFormat="1" ht="13.2" hidden="1">
      <c r="A2153" s="1129" t="s">
        <v>3389</v>
      </c>
      <c r="Q2153" s="1129"/>
    </row>
    <row r="2154" spans="1:25" s="1130" customFormat="1" ht="13.2" hidden="1">
      <c r="Q2154" s="1129"/>
    </row>
    <row r="2155" spans="1:25" s="1130" customFormat="1" ht="66" hidden="1">
      <c r="A2155" s="1314" t="s">
        <v>3390</v>
      </c>
      <c r="B2155" s="1315"/>
      <c r="C2155" s="1316" t="s">
        <v>3355</v>
      </c>
      <c r="D2155" s="1317"/>
      <c r="E2155" s="1317"/>
      <c r="F2155" s="1317"/>
      <c r="G2155" s="1317"/>
      <c r="H2155" s="1317"/>
      <c r="I2155" s="1317"/>
      <c r="J2155" s="1317"/>
      <c r="K2155" s="1317"/>
      <c r="L2155" s="1317"/>
      <c r="M2155" s="1317"/>
      <c r="N2155" s="1318"/>
      <c r="O2155" s="1131" t="s">
        <v>3356</v>
      </c>
      <c r="P2155" s="323"/>
      <c r="Q2155" s="1156">
        <v>14</v>
      </c>
      <c r="R2155" s="326"/>
      <c r="S2155" s="326"/>
      <c r="T2155" s="327"/>
      <c r="U2155" s="326"/>
      <c r="V2155" s="328"/>
      <c r="W2155" s="323"/>
      <c r="X2155" s="323"/>
      <c r="Y2155" s="323"/>
    </row>
    <row r="2156" spans="1:25" s="1130" customFormat="1" ht="13.2" hidden="1">
      <c r="A2156" s="1132" t="s">
        <v>77</v>
      </c>
      <c r="B2156" s="1133" t="s">
        <v>1795</v>
      </c>
      <c r="C2156" s="1134" t="s">
        <v>116</v>
      </c>
      <c r="D2156" s="1135" t="s">
        <v>117</v>
      </c>
      <c r="E2156" s="1135" t="s">
        <v>118</v>
      </c>
      <c r="F2156" s="1135" t="s">
        <v>119</v>
      </c>
      <c r="G2156" s="1135" t="s">
        <v>120</v>
      </c>
      <c r="H2156" s="1135" t="s">
        <v>121</v>
      </c>
      <c r="I2156" s="1135" t="s">
        <v>122</v>
      </c>
      <c r="J2156" s="1135" t="s">
        <v>123</v>
      </c>
      <c r="K2156" s="1135" t="s">
        <v>124</v>
      </c>
      <c r="L2156" s="1135" t="s">
        <v>125</v>
      </c>
      <c r="M2156" s="1135" t="s">
        <v>126</v>
      </c>
      <c r="N2156" s="1136" t="s">
        <v>127</v>
      </c>
      <c r="O2156" s="1137" t="s">
        <v>3357</v>
      </c>
      <c r="P2156" s="323"/>
      <c r="Q2156" s="323"/>
      <c r="R2156" s="326"/>
      <c r="S2156" s="326"/>
      <c r="T2156" s="327"/>
      <c r="U2156" s="326"/>
      <c r="V2156" s="328"/>
      <c r="W2156" s="323"/>
      <c r="X2156" s="323"/>
      <c r="Y2156" s="323"/>
    </row>
    <row r="2157" spans="1:25" s="1130" customFormat="1" ht="13.2" hidden="1">
      <c r="A2157" s="1138" t="s">
        <v>3358</v>
      </c>
      <c r="B2157" s="1137" t="s">
        <v>14</v>
      </c>
      <c r="C2157" s="1134">
        <v>37</v>
      </c>
      <c r="D2157" s="1135">
        <v>57</v>
      </c>
      <c r="E2157" s="1135">
        <v>106</v>
      </c>
      <c r="F2157" s="1135">
        <v>144</v>
      </c>
      <c r="G2157" s="1135">
        <v>185</v>
      </c>
      <c r="H2157" s="1135">
        <v>234</v>
      </c>
      <c r="I2157" s="1135">
        <v>227</v>
      </c>
      <c r="J2157" s="1135">
        <v>194</v>
      </c>
      <c r="K2157" s="1135">
        <v>112</v>
      </c>
      <c r="L2157" s="1135">
        <v>87</v>
      </c>
      <c r="M2157" s="1135">
        <v>40</v>
      </c>
      <c r="N2157" s="1136">
        <v>30</v>
      </c>
      <c r="O2157" s="1139">
        <v>1064</v>
      </c>
      <c r="P2157" s="323"/>
      <c r="Q2157" s="323"/>
      <c r="R2157" s="326"/>
      <c r="S2157" s="326"/>
      <c r="T2157" s="327"/>
      <c r="U2157" s="326"/>
      <c r="V2157" s="328"/>
      <c r="W2157" s="323"/>
      <c r="X2157" s="323"/>
      <c r="Y2157" s="323"/>
    </row>
    <row r="2158" spans="1:25" s="1130" customFormat="1" ht="13.2" hidden="1">
      <c r="A2158" s="1319" t="s">
        <v>11</v>
      </c>
      <c r="B2158" s="1140" t="s">
        <v>15</v>
      </c>
      <c r="C2158" s="1141">
        <v>53</v>
      </c>
      <c r="D2158" s="1142">
        <v>68</v>
      </c>
      <c r="E2158" s="1142">
        <v>122</v>
      </c>
      <c r="F2158" s="1142">
        <v>154</v>
      </c>
      <c r="G2158" s="1142">
        <v>184</v>
      </c>
      <c r="H2158" s="1142">
        <v>230</v>
      </c>
      <c r="I2158" s="1142">
        <v>226</v>
      </c>
      <c r="J2158" s="1142">
        <v>204</v>
      </c>
      <c r="K2158" s="1142">
        <v>121</v>
      </c>
      <c r="L2158" s="1142">
        <v>108</v>
      </c>
      <c r="M2158" s="1142">
        <v>49</v>
      </c>
      <c r="N2158" s="1143">
        <v>44</v>
      </c>
      <c r="O2158" s="1144">
        <v>1146</v>
      </c>
      <c r="P2158" s="323"/>
      <c r="Q2158" s="323"/>
      <c r="R2158" s="326"/>
      <c r="S2158" s="326"/>
      <c r="T2158" s="327"/>
      <c r="U2158" s="326"/>
      <c r="V2158" s="328"/>
      <c r="W2158" s="323"/>
      <c r="X2158" s="323"/>
      <c r="Y2158" s="323"/>
    </row>
    <row r="2159" spans="1:25" s="1130" customFormat="1" ht="13.2" hidden="1">
      <c r="A2159" s="1320"/>
      <c r="B2159" s="1140" t="s">
        <v>16</v>
      </c>
      <c r="C2159" s="1141">
        <v>57</v>
      </c>
      <c r="D2159" s="1142">
        <v>69</v>
      </c>
      <c r="E2159" s="1142">
        <v>123</v>
      </c>
      <c r="F2159" s="1142">
        <v>149</v>
      </c>
      <c r="G2159" s="1142">
        <v>172</v>
      </c>
      <c r="H2159" s="1142">
        <v>213</v>
      </c>
      <c r="I2159" s="1142">
        <v>211</v>
      </c>
      <c r="J2159" s="1142">
        <v>195</v>
      </c>
      <c r="K2159" s="1142">
        <v>118</v>
      </c>
      <c r="L2159" s="1142">
        <v>112</v>
      </c>
      <c r="M2159" s="1142">
        <v>51</v>
      </c>
      <c r="N2159" s="1143">
        <v>49</v>
      </c>
      <c r="O2159" s="1144">
        <v>1112</v>
      </c>
      <c r="P2159" s="323"/>
      <c r="Q2159" s="323"/>
      <c r="R2159" s="326"/>
      <c r="S2159" s="326"/>
      <c r="T2159" s="327"/>
      <c r="U2159" s="326"/>
      <c r="V2159" s="328"/>
      <c r="W2159" s="323"/>
      <c r="X2159" s="323"/>
      <c r="Y2159" s="323"/>
    </row>
    <row r="2160" spans="1:25" s="1130" customFormat="1" ht="13.2" hidden="1">
      <c r="A2160" s="1320"/>
      <c r="B2160" s="1140" t="s">
        <v>17</v>
      </c>
      <c r="C2160" s="1141">
        <v>59</v>
      </c>
      <c r="D2160" s="1142">
        <v>68</v>
      </c>
      <c r="E2160" s="1142">
        <v>117</v>
      </c>
      <c r="F2160" s="1142">
        <v>137</v>
      </c>
      <c r="G2160" s="1142">
        <v>153</v>
      </c>
      <c r="H2160" s="1142">
        <v>188</v>
      </c>
      <c r="I2160" s="1142">
        <v>188</v>
      </c>
      <c r="J2160" s="1142">
        <v>178</v>
      </c>
      <c r="K2160" s="1142">
        <v>109</v>
      </c>
      <c r="L2160" s="1142">
        <v>110</v>
      </c>
      <c r="M2160" s="1142">
        <v>51</v>
      </c>
      <c r="N2160" s="1143">
        <v>51</v>
      </c>
      <c r="O2160" s="1144">
        <v>1032</v>
      </c>
      <c r="P2160" s="323"/>
      <c r="Q2160" s="323"/>
      <c r="R2160" s="326"/>
      <c r="S2160" s="326"/>
      <c r="T2160" s="327"/>
      <c r="U2160" s="326"/>
      <c r="V2160" s="328"/>
      <c r="W2160" s="323"/>
      <c r="X2160" s="323"/>
      <c r="Y2160" s="323"/>
    </row>
    <row r="2161" spans="1:25" s="1130" customFormat="1" ht="13.2" hidden="1">
      <c r="A2161" s="1321"/>
      <c r="B2161" s="1137" t="s">
        <v>18</v>
      </c>
      <c r="C2161" s="1134">
        <v>54</v>
      </c>
      <c r="D2161" s="1135">
        <v>56</v>
      </c>
      <c r="E2161" s="1135">
        <v>91</v>
      </c>
      <c r="F2161" s="1135">
        <v>100</v>
      </c>
      <c r="G2161" s="1135">
        <v>103</v>
      </c>
      <c r="H2161" s="1135">
        <v>124</v>
      </c>
      <c r="I2161" s="1135">
        <v>126</v>
      </c>
      <c r="J2161" s="1135">
        <v>125</v>
      </c>
      <c r="K2161" s="1135">
        <v>82</v>
      </c>
      <c r="L2161" s="1135">
        <v>92</v>
      </c>
      <c r="M2161" s="1135">
        <v>43</v>
      </c>
      <c r="N2161" s="1136">
        <v>47</v>
      </c>
      <c r="O2161" s="1145">
        <v>765</v>
      </c>
      <c r="P2161" s="323"/>
      <c r="Q2161" s="323"/>
      <c r="R2161" s="326"/>
      <c r="S2161" s="326"/>
      <c r="T2161" s="327"/>
      <c r="U2161" s="326"/>
      <c r="V2161" s="328"/>
      <c r="W2161" s="323"/>
      <c r="X2161" s="323"/>
      <c r="Y2161" s="323"/>
    </row>
    <row r="2162" spans="1:25" s="1130" customFormat="1" ht="13.2" hidden="1">
      <c r="A2162" s="1319" t="s">
        <v>3359</v>
      </c>
      <c r="B2162" s="1140" t="s">
        <v>15</v>
      </c>
      <c r="C2162" s="1141">
        <v>50</v>
      </c>
      <c r="D2162" s="1142">
        <v>66</v>
      </c>
      <c r="E2162" s="1142">
        <v>120</v>
      </c>
      <c r="F2162" s="1142">
        <v>155</v>
      </c>
      <c r="G2162" s="1142">
        <v>185</v>
      </c>
      <c r="H2162" s="1142">
        <v>234</v>
      </c>
      <c r="I2162" s="1142">
        <v>230</v>
      </c>
      <c r="J2162" s="1142">
        <v>206</v>
      </c>
      <c r="K2162" s="1142">
        <v>119</v>
      </c>
      <c r="L2162" s="1142">
        <v>105</v>
      </c>
      <c r="M2162" s="1142">
        <v>48</v>
      </c>
      <c r="N2162" s="1143">
        <v>41</v>
      </c>
      <c r="O2162" s="1144">
        <v>1142</v>
      </c>
      <c r="P2162" s="323"/>
      <c r="Q2162" s="323"/>
      <c r="R2162" s="326"/>
      <c r="S2162" s="326"/>
      <c r="T2162" s="327"/>
      <c r="U2162" s="326"/>
      <c r="V2162" s="328"/>
      <c r="W2162" s="323"/>
      <c r="X2162" s="323"/>
      <c r="Y2162" s="323"/>
    </row>
    <row r="2163" spans="1:25" s="1130" customFormat="1" ht="13.2" hidden="1">
      <c r="A2163" s="1320"/>
      <c r="B2163" s="1140" t="s">
        <v>16</v>
      </c>
      <c r="C2163" s="1141">
        <v>53</v>
      </c>
      <c r="D2163" s="1142">
        <v>66</v>
      </c>
      <c r="E2163" s="1142">
        <v>120</v>
      </c>
      <c r="F2163" s="1142">
        <v>150</v>
      </c>
      <c r="G2163" s="1142">
        <v>174</v>
      </c>
      <c r="H2163" s="1142">
        <v>220</v>
      </c>
      <c r="I2163" s="1142">
        <v>218</v>
      </c>
      <c r="J2163" s="1142">
        <v>199</v>
      </c>
      <c r="K2163" s="1142">
        <v>116</v>
      </c>
      <c r="L2163" s="1142">
        <v>108</v>
      </c>
      <c r="M2163" s="1142">
        <v>48</v>
      </c>
      <c r="N2163" s="1143">
        <v>44</v>
      </c>
      <c r="O2163" s="1144">
        <v>1110</v>
      </c>
      <c r="P2163" s="323"/>
      <c r="Q2163" s="323"/>
      <c r="R2163" s="326"/>
      <c r="S2163" s="326"/>
      <c r="T2163" s="327"/>
      <c r="U2163" s="326"/>
      <c r="V2163" s="328"/>
      <c r="W2163" s="323"/>
      <c r="X2163" s="323"/>
      <c r="Y2163" s="323"/>
    </row>
    <row r="2164" spans="1:25" s="1130" customFormat="1" ht="13.2" hidden="1">
      <c r="A2164" s="1320"/>
      <c r="B2164" s="1140" t="s">
        <v>17</v>
      </c>
      <c r="C2164" s="1141">
        <v>54</v>
      </c>
      <c r="D2164" s="1142">
        <v>64</v>
      </c>
      <c r="E2164" s="1142">
        <v>114</v>
      </c>
      <c r="F2164" s="1142">
        <v>140</v>
      </c>
      <c r="G2164" s="1142">
        <v>157</v>
      </c>
      <c r="H2164" s="1142">
        <v>198</v>
      </c>
      <c r="I2164" s="1142">
        <v>198</v>
      </c>
      <c r="J2164" s="1142">
        <v>185</v>
      </c>
      <c r="K2164" s="1142">
        <v>108</v>
      </c>
      <c r="L2164" s="1142">
        <v>105</v>
      </c>
      <c r="M2164" s="1142">
        <v>47</v>
      </c>
      <c r="N2164" s="1143">
        <v>45</v>
      </c>
      <c r="O2164" s="1144">
        <v>1037</v>
      </c>
      <c r="P2164" s="323"/>
      <c r="Q2164" s="323"/>
      <c r="R2164" s="326"/>
      <c r="S2164" s="326"/>
      <c r="T2164" s="327"/>
      <c r="U2164" s="326"/>
      <c r="V2164" s="328"/>
      <c r="W2164" s="323"/>
      <c r="X2164" s="323"/>
      <c r="Y2164" s="323"/>
    </row>
    <row r="2165" spans="1:25" s="1130" customFormat="1" ht="13.2" hidden="1">
      <c r="A2165" s="1321"/>
      <c r="B2165" s="1137" t="s">
        <v>18</v>
      </c>
      <c r="C2165" s="1134">
        <v>48</v>
      </c>
      <c r="D2165" s="1135">
        <v>52</v>
      </c>
      <c r="E2165" s="1135">
        <v>90</v>
      </c>
      <c r="F2165" s="1135">
        <v>106</v>
      </c>
      <c r="G2165" s="1135">
        <v>113</v>
      </c>
      <c r="H2165" s="1135">
        <v>141</v>
      </c>
      <c r="I2165" s="1135">
        <v>143</v>
      </c>
      <c r="J2165" s="1135">
        <v>138</v>
      </c>
      <c r="K2165" s="1135">
        <v>82</v>
      </c>
      <c r="L2165" s="1135">
        <v>87</v>
      </c>
      <c r="M2165" s="1135">
        <v>40</v>
      </c>
      <c r="N2165" s="1136">
        <v>41</v>
      </c>
      <c r="O2165" s="1145">
        <v>792</v>
      </c>
      <c r="P2165" s="323"/>
      <c r="Q2165" s="323"/>
      <c r="R2165" s="326"/>
      <c r="S2165" s="326"/>
      <c r="T2165" s="327"/>
      <c r="U2165" s="326"/>
      <c r="V2165" s="328"/>
      <c r="W2165" s="323"/>
      <c r="X2165" s="323"/>
      <c r="Y2165" s="323"/>
    </row>
    <row r="2166" spans="1:25" s="1130" customFormat="1" ht="13.2" hidden="1">
      <c r="A2166" s="1319" t="s">
        <v>3360</v>
      </c>
      <c r="B2166" s="1140" t="s">
        <v>15</v>
      </c>
      <c r="C2166" s="1141">
        <v>45</v>
      </c>
      <c r="D2166" s="1142">
        <v>62</v>
      </c>
      <c r="E2166" s="1142">
        <v>111</v>
      </c>
      <c r="F2166" s="1142">
        <v>143</v>
      </c>
      <c r="G2166" s="1142">
        <v>178</v>
      </c>
      <c r="H2166" s="1142">
        <v>222</v>
      </c>
      <c r="I2166" s="1142">
        <v>216</v>
      </c>
      <c r="J2166" s="1142">
        <v>191</v>
      </c>
      <c r="K2166" s="1142">
        <v>113</v>
      </c>
      <c r="L2166" s="1142">
        <v>96</v>
      </c>
      <c r="M2166" s="1142">
        <v>44</v>
      </c>
      <c r="N2166" s="1143">
        <v>37</v>
      </c>
      <c r="O2166" s="1144">
        <v>1068</v>
      </c>
      <c r="P2166" s="323"/>
      <c r="Q2166" s="323"/>
      <c r="R2166" s="326"/>
      <c r="S2166" s="326"/>
      <c r="T2166" s="327"/>
      <c r="U2166" s="326"/>
      <c r="V2166" s="328"/>
      <c r="W2166" s="323"/>
      <c r="X2166" s="323"/>
      <c r="Y2166" s="323"/>
    </row>
    <row r="2167" spans="1:25" s="1130" customFormat="1" ht="13.2" hidden="1">
      <c r="A2167" s="1320"/>
      <c r="B2167" s="1140" t="s">
        <v>16</v>
      </c>
      <c r="C2167" s="1141">
        <v>46</v>
      </c>
      <c r="D2167" s="1142">
        <v>60</v>
      </c>
      <c r="E2167" s="1142">
        <v>108</v>
      </c>
      <c r="F2167" s="1142">
        <v>135</v>
      </c>
      <c r="G2167" s="1142">
        <v>165</v>
      </c>
      <c r="H2167" s="1142">
        <v>205</v>
      </c>
      <c r="I2167" s="1142">
        <v>200</v>
      </c>
      <c r="J2167" s="1142">
        <v>179</v>
      </c>
      <c r="K2167" s="1142">
        <v>107</v>
      </c>
      <c r="L2167" s="1142">
        <v>94</v>
      </c>
      <c r="M2167" s="1142">
        <v>43</v>
      </c>
      <c r="N2167" s="1143">
        <v>39</v>
      </c>
      <c r="O2167" s="1144">
        <v>1013</v>
      </c>
      <c r="P2167" s="323"/>
      <c r="Q2167" s="323"/>
      <c r="R2167" s="326"/>
      <c r="S2167" s="326"/>
      <c r="T2167" s="327"/>
      <c r="U2167" s="326"/>
      <c r="V2167" s="328"/>
      <c r="W2167" s="323"/>
      <c r="X2167" s="323"/>
      <c r="Y2167" s="323"/>
    </row>
    <row r="2168" spans="1:25" s="1130" customFormat="1" ht="13.2" hidden="1">
      <c r="A2168" s="1320"/>
      <c r="B2168" s="1140" t="s">
        <v>17</v>
      </c>
      <c r="C2168" s="1141">
        <v>46</v>
      </c>
      <c r="D2168" s="1142">
        <v>57</v>
      </c>
      <c r="E2168" s="1142">
        <v>100</v>
      </c>
      <c r="F2168" s="1142">
        <v>123</v>
      </c>
      <c r="G2168" s="1142">
        <v>148</v>
      </c>
      <c r="H2168" s="1142">
        <v>183</v>
      </c>
      <c r="I2168" s="1142">
        <v>178</v>
      </c>
      <c r="J2168" s="1142">
        <v>163</v>
      </c>
      <c r="K2168" s="1142">
        <v>98</v>
      </c>
      <c r="L2168" s="1142">
        <v>89</v>
      </c>
      <c r="M2168" s="1142">
        <v>41</v>
      </c>
      <c r="N2168" s="1143">
        <v>39</v>
      </c>
      <c r="O2168" s="1144">
        <v>926</v>
      </c>
      <c r="P2168" s="323"/>
      <c r="Q2168" s="323"/>
      <c r="R2168" s="326"/>
      <c r="S2168" s="326"/>
      <c r="T2168" s="327"/>
      <c r="U2168" s="326"/>
      <c r="V2168" s="328"/>
      <c r="W2168" s="323"/>
      <c r="X2168" s="323"/>
      <c r="Y2168" s="323"/>
    </row>
    <row r="2169" spans="1:25" s="1130" customFormat="1" ht="13.2" hidden="1">
      <c r="A2169" s="1321"/>
      <c r="B2169" s="1137" t="s">
        <v>18</v>
      </c>
      <c r="C2169" s="1134">
        <v>39</v>
      </c>
      <c r="D2169" s="1135">
        <v>45</v>
      </c>
      <c r="E2169" s="1135">
        <v>76</v>
      </c>
      <c r="F2169" s="1135">
        <v>90</v>
      </c>
      <c r="G2169" s="1135">
        <v>104</v>
      </c>
      <c r="H2169" s="1135">
        <v>128</v>
      </c>
      <c r="I2169" s="1135">
        <v>126</v>
      </c>
      <c r="J2169" s="1135">
        <v>117</v>
      </c>
      <c r="K2169" s="1135">
        <v>73</v>
      </c>
      <c r="L2169" s="1135">
        <v>70</v>
      </c>
      <c r="M2169" s="1135">
        <v>33</v>
      </c>
      <c r="N2169" s="1136">
        <v>33</v>
      </c>
      <c r="O2169" s="1145">
        <v>683</v>
      </c>
      <c r="P2169" s="323"/>
      <c r="Q2169" s="323"/>
      <c r="R2169" s="326"/>
      <c r="S2169" s="326"/>
      <c r="T2169" s="327"/>
      <c r="U2169" s="326"/>
      <c r="V2169" s="328"/>
      <c r="W2169" s="323"/>
      <c r="X2169" s="323"/>
      <c r="Y2169" s="323"/>
    </row>
    <row r="2170" spans="1:25" s="1130" customFormat="1" ht="13.2" hidden="1">
      <c r="A2170" s="1319" t="s">
        <v>980</v>
      </c>
      <c r="B2170" s="1140" t="s">
        <v>15</v>
      </c>
      <c r="C2170" s="1141">
        <v>38</v>
      </c>
      <c r="D2170" s="1142">
        <v>56</v>
      </c>
      <c r="E2170" s="1142">
        <v>105</v>
      </c>
      <c r="F2170" s="1142">
        <v>143</v>
      </c>
      <c r="G2170" s="1142">
        <v>178</v>
      </c>
      <c r="H2170" s="1142">
        <v>228</v>
      </c>
      <c r="I2170" s="1142">
        <v>222</v>
      </c>
      <c r="J2170" s="1142">
        <v>194</v>
      </c>
      <c r="K2170" s="1142">
        <v>109</v>
      </c>
      <c r="L2170" s="1142">
        <v>88</v>
      </c>
      <c r="M2170" s="1142">
        <v>40</v>
      </c>
      <c r="N2170" s="1143">
        <v>31</v>
      </c>
      <c r="O2170" s="1144">
        <v>1048</v>
      </c>
      <c r="P2170" s="323"/>
      <c r="Q2170" s="323"/>
      <c r="R2170" s="326"/>
      <c r="S2170" s="326"/>
      <c r="T2170" s="327"/>
      <c r="U2170" s="326"/>
      <c r="V2170" s="328"/>
      <c r="W2170" s="323"/>
      <c r="X2170" s="323"/>
      <c r="Y2170" s="323"/>
    </row>
    <row r="2171" spans="1:25" s="1130" customFormat="1" ht="13.2" hidden="1">
      <c r="A2171" s="1320"/>
      <c r="B2171" s="1140" t="s">
        <v>16</v>
      </c>
      <c r="C2171" s="1141">
        <v>37</v>
      </c>
      <c r="D2171" s="1142">
        <v>53</v>
      </c>
      <c r="E2171" s="1142">
        <v>100</v>
      </c>
      <c r="F2171" s="1142">
        <v>136</v>
      </c>
      <c r="G2171" s="1142">
        <v>166</v>
      </c>
      <c r="H2171" s="1142">
        <v>214</v>
      </c>
      <c r="I2171" s="1142">
        <v>209</v>
      </c>
      <c r="J2171" s="1142">
        <v>184</v>
      </c>
      <c r="K2171" s="1142">
        <v>102</v>
      </c>
      <c r="L2171" s="1142">
        <v>84</v>
      </c>
      <c r="M2171" s="1142">
        <v>38</v>
      </c>
      <c r="N2171" s="1143">
        <v>30</v>
      </c>
      <c r="O2171" s="1144">
        <v>990</v>
      </c>
      <c r="P2171" s="323"/>
      <c r="Q2171" s="323"/>
      <c r="R2171" s="326"/>
      <c r="S2171" s="326"/>
      <c r="T2171" s="327"/>
      <c r="U2171" s="326"/>
      <c r="V2171" s="328"/>
      <c r="W2171" s="323"/>
      <c r="X2171" s="323"/>
      <c r="Y2171" s="323"/>
    </row>
    <row r="2172" spans="1:25" s="1130" customFormat="1" ht="13.2" hidden="1">
      <c r="A2172" s="1320"/>
      <c r="B2172" s="1140" t="s">
        <v>17</v>
      </c>
      <c r="C2172" s="1141">
        <v>35</v>
      </c>
      <c r="D2172" s="1142">
        <v>49</v>
      </c>
      <c r="E2172" s="1142">
        <v>93</v>
      </c>
      <c r="F2172" s="1142">
        <v>125</v>
      </c>
      <c r="G2172" s="1142">
        <v>151</v>
      </c>
      <c r="H2172" s="1142">
        <v>195</v>
      </c>
      <c r="I2172" s="1142">
        <v>191</v>
      </c>
      <c r="J2172" s="1142">
        <v>170</v>
      </c>
      <c r="K2172" s="1142">
        <v>93</v>
      </c>
      <c r="L2172" s="1142">
        <v>79</v>
      </c>
      <c r="M2172" s="1142">
        <v>35</v>
      </c>
      <c r="N2172" s="1143">
        <v>28</v>
      </c>
      <c r="O2172" s="1144">
        <v>910</v>
      </c>
      <c r="P2172" s="323"/>
      <c r="Q2172" s="323"/>
      <c r="R2172" s="326"/>
      <c r="S2172" s="326"/>
      <c r="T2172" s="327"/>
      <c r="U2172" s="326"/>
      <c r="V2172" s="328"/>
      <c r="W2172" s="323"/>
      <c r="X2172" s="323"/>
      <c r="Y2172" s="323"/>
    </row>
    <row r="2173" spans="1:25" s="1130" customFormat="1" ht="13.2" hidden="1">
      <c r="A2173" s="1321"/>
      <c r="B2173" s="1137" t="s">
        <v>18</v>
      </c>
      <c r="C2173" s="1134">
        <v>28</v>
      </c>
      <c r="D2173" s="1135">
        <v>38</v>
      </c>
      <c r="E2173" s="1135">
        <v>72</v>
      </c>
      <c r="F2173" s="1135">
        <v>96</v>
      </c>
      <c r="G2173" s="1135">
        <v>113</v>
      </c>
      <c r="H2173" s="1135">
        <v>147</v>
      </c>
      <c r="I2173" s="1135">
        <v>145</v>
      </c>
      <c r="J2173" s="1135">
        <v>131</v>
      </c>
      <c r="K2173" s="1135">
        <v>71</v>
      </c>
      <c r="L2173" s="1135">
        <v>63</v>
      </c>
      <c r="M2173" s="1135">
        <v>27</v>
      </c>
      <c r="N2173" s="1136">
        <v>23</v>
      </c>
      <c r="O2173" s="1145">
        <v>698</v>
      </c>
      <c r="P2173" s="323"/>
      <c r="Q2173" s="323"/>
      <c r="R2173" s="326"/>
      <c r="S2173" s="326"/>
      <c r="T2173" s="327"/>
      <c r="U2173" s="326"/>
      <c r="V2173" s="328"/>
      <c r="W2173" s="323"/>
      <c r="X2173" s="323"/>
      <c r="Y2173" s="323"/>
    </row>
    <row r="2174" spans="1:25" s="1130" customFormat="1" ht="13.2" hidden="1">
      <c r="A2174" s="1319" t="s">
        <v>981</v>
      </c>
      <c r="B2174" s="1140" t="s">
        <v>15</v>
      </c>
      <c r="C2174" s="1141">
        <v>33</v>
      </c>
      <c r="D2174" s="1142">
        <v>52</v>
      </c>
      <c r="E2174" s="1142">
        <v>94</v>
      </c>
      <c r="F2174" s="1142">
        <v>127</v>
      </c>
      <c r="G2174" s="1142">
        <v>167</v>
      </c>
      <c r="H2174" s="1142">
        <v>210</v>
      </c>
      <c r="I2174" s="1142">
        <v>201</v>
      </c>
      <c r="J2174" s="1142">
        <v>171</v>
      </c>
      <c r="K2174" s="1142">
        <v>100</v>
      </c>
      <c r="L2174" s="1142">
        <v>77</v>
      </c>
      <c r="M2174" s="1142">
        <v>36</v>
      </c>
      <c r="N2174" s="1143">
        <v>27</v>
      </c>
      <c r="O2174" s="1144">
        <v>949</v>
      </c>
      <c r="P2174" s="323"/>
      <c r="Q2174" s="323"/>
      <c r="R2174" s="326"/>
      <c r="S2174" s="326"/>
      <c r="T2174" s="327"/>
      <c r="U2174" s="326"/>
      <c r="V2174" s="328"/>
      <c r="W2174" s="323"/>
      <c r="X2174" s="323"/>
      <c r="Y2174" s="323"/>
    </row>
    <row r="2175" spans="1:25" s="1130" customFormat="1" ht="13.2" hidden="1">
      <c r="A2175" s="1320"/>
      <c r="B2175" s="1140" t="s">
        <v>16</v>
      </c>
      <c r="C2175" s="1141">
        <v>31</v>
      </c>
      <c r="D2175" s="1142">
        <v>48</v>
      </c>
      <c r="E2175" s="1142">
        <v>86</v>
      </c>
      <c r="F2175" s="1142">
        <v>116</v>
      </c>
      <c r="G2175" s="1142">
        <v>153</v>
      </c>
      <c r="H2175" s="1142">
        <v>190</v>
      </c>
      <c r="I2175" s="1142">
        <v>183</v>
      </c>
      <c r="J2175" s="1142">
        <v>156</v>
      </c>
      <c r="K2175" s="1142">
        <v>92</v>
      </c>
      <c r="L2175" s="1142">
        <v>71</v>
      </c>
      <c r="M2175" s="1142">
        <v>33</v>
      </c>
      <c r="N2175" s="1143">
        <v>25</v>
      </c>
      <c r="O2175" s="1144">
        <v>866</v>
      </c>
      <c r="P2175" s="323"/>
      <c r="Q2175" s="323"/>
      <c r="R2175" s="326"/>
      <c r="S2175" s="326"/>
      <c r="T2175" s="327"/>
      <c r="U2175" s="326"/>
      <c r="V2175" s="328"/>
      <c r="W2175" s="323"/>
      <c r="X2175" s="323"/>
      <c r="Y2175" s="323"/>
    </row>
    <row r="2176" spans="1:25" s="1130" customFormat="1" ht="13.2" hidden="1">
      <c r="A2176" s="1320"/>
      <c r="B2176" s="1140" t="s">
        <v>17</v>
      </c>
      <c r="C2176" s="1141">
        <v>28</v>
      </c>
      <c r="D2176" s="1142">
        <v>42</v>
      </c>
      <c r="E2176" s="1142">
        <v>77</v>
      </c>
      <c r="F2176" s="1142">
        <v>103</v>
      </c>
      <c r="G2176" s="1142">
        <v>136</v>
      </c>
      <c r="H2176" s="1142">
        <v>169</v>
      </c>
      <c r="I2176" s="1142">
        <v>162</v>
      </c>
      <c r="J2176" s="1142">
        <v>139</v>
      </c>
      <c r="K2176" s="1142">
        <v>82</v>
      </c>
      <c r="L2176" s="1142">
        <v>64</v>
      </c>
      <c r="M2176" s="1142">
        <v>29</v>
      </c>
      <c r="N2176" s="1143">
        <v>23</v>
      </c>
      <c r="O2176" s="1144">
        <v>772</v>
      </c>
      <c r="P2176" s="323"/>
      <c r="Q2176" s="323"/>
      <c r="R2176" s="326"/>
      <c r="S2176" s="326"/>
      <c r="T2176" s="327"/>
      <c r="U2176" s="326"/>
      <c r="V2176" s="328"/>
      <c r="W2176" s="323"/>
      <c r="X2176" s="323"/>
      <c r="Y2176" s="323"/>
    </row>
    <row r="2177" spans="1:25" s="1130" customFormat="1" ht="13.2" hidden="1">
      <c r="A2177" s="1321"/>
      <c r="B2177" s="1137" t="s">
        <v>18</v>
      </c>
      <c r="C2177" s="1134">
        <v>21</v>
      </c>
      <c r="D2177" s="1135">
        <v>31</v>
      </c>
      <c r="E2177" s="1135">
        <v>57</v>
      </c>
      <c r="F2177" s="1135">
        <v>76</v>
      </c>
      <c r="G2177" s="1135">
        <v>99</v>
      </c>
      <c r="H2177" s="1135">
        <v>123</v>
      </c>
      <c r="I2177" s="1135">
        <v>119</v>
      </c>
      <c r="J2177" s="1135">
        <v>103</v>
      </c>
      <c r="K2177" s="1135">
        <v>60</v>
      </c>
      <c r="L2177" s="1135">
        <v>48</v>
      </c>
      <c r="M2177" s="1135">
        <v>21</v>
      </c>
      <c r="N2177" s="1136">
        <v>17</v>
      </c>
      <c r="O2177" s="1145">
        <v>568</v>
      </c>
      <c r="P2177" s="323"/>
      <c r="Q2177" s="323"/>
      <c r="R2177" s="326"/>
      <c r="S2177" s="326"/>
      <c r="T2177" s="327"/>
      <c r="U2177" s="326"/>
      <c r="V2177" s="328"/>
      <c r="W2177" s="323"/>
      <c r="X2177" s="323"/>
      <c r="Y2177" s="323"/>
    </row>
    <row r="2178" spans="1:25" s="1130" customFormat="1" ht="13.2" hidden="1">
      <c r="A2178" s="1319" t="s">
        <v>3361</v>
      </c>
      <c r="B2178" s="1140" t="s">
        <v>15</v>
      </c>
      <c r="C2178" s="1141">
        <v>25</v>
      </c>
      <c r="D2178" s="1142">
        <v>43</v>
      </c>
      <c r="E2178" s="1142">
        <v>78</v>
      </c>
      <c r="F2178" s="1142">
        <v>113</v>
      </c>
      <c r="G2178" s="1142">
        <v>156</v>
      </c>
      <c r="H2178" s="1142">
        <v>197</v>
      </c>
      <c r="I2178" s="1142">
        <v>187</v>
      </c>
      <c r="J2178" s="1142">
        <v>153</v>
      </c>
      <c r="K2178" s="1142">
        <v>89</v>
      </c>
      <c r="L2178" s="1142">
        <v>61</v>
      </c>
      <c r="M2178" s="1142">
        <v>30</v>
      </c>
      <c r="N2178" s="1143">
        <v>20</v>
      </c>
      <c r="O2178" s="1144">
        <v>843</v>
      </c>
      <c r="P2178" s="323"/>
      <c r="Q2178" s="323"/>
      <c r="R2178" s="326"/>
      <c r="S2178" s="326"/>
      <c r="T2178" s="327"/>
      <c r="U2178" s="326"/>
      <c r="V2178" s="328"/>
      <c r="W2178" s="323"/>
      <c r="X2178" s="323"/>
      <c r="Y2178" s="323"/>
    </row>
    <row r="2179" spans="1:25" s="1130" customFormat="1" ht="13.2" hidden="1">
      <c r="A2179" s="1320"/>
      <c r="B2179" s="1140" t="s">
        <v>16</v>
      </c>
      <c r="C2179" s="1141">
        <v>22</v>
      </c>
      <c r="D2179" s="1142">
        <v>38</v>
      </c>
      <c r="E2179" s="1142">
        <v>66</v>
      </c>
      <c r="F2179" s="1142">
        <v>96</v>
      </c>
      <c r="G2179" s="1142">
        <v>136</v>
      </c>
      <c r="H2179" s="1142">
        <v>170</v>
      </c>
      <c r="I2179" s="1142">
        <v>161</v>
      </c>
      <c r="J2179" s="1142">
        <v>130</v>
      </c>
      <c r="K2179" s="1142">
        <v>76</v>
      </c>
      <c r="L2179" s="1142">
        <v>52</v>
      </c>
      <c r="M2179" s="1142">
        <v>26</v>
      </c>
      <c r="N2179" s="1143">
        <v>18</v>
      </c>
      <c r="O2179" s="1144">
        <v>725</v>
      </c>
      <c r="P2179" s="323"/>
      <c r="Q2179" s="323"/>
      <c r="R2179" s="326"/>
      <c r="S2179" s="326"/>
      <c r="T2179" s="327"/>
      <c r="U2179" s="326"/>
      <c r="V2179" s="328"/>
      <c r="W2179" s="323"/>
      <c r="X2179" s="323"/>
      <c r="Y2179" s="323"/>
    </row>
    <row r="2180" spans="1:25" s="1130" customFormat="1" ht="13.2" hidden="1">
      <c r="A2180" s="1320"/>
      <c r="B2180" s="1140" t="s">
        <v>17</v>
      </c>
      <c r="C2180" s="1141">
        <v>20</v>
      </c>
      <c r="D2180" s="1142">
        <v>33</v>
      </c>
      <c r="E2180" s="1142">
        <v>57</v>
      </c>
      <c r="F2180" s="1142">
        <v>83</v>
      </c>
      <c r="G2180" s="1142">
        <v>117</v>
      </c>
      <c r="H2180" s="1142">
        <v>144</v>
      </c>
      <c r="I2180" s="1142">
        <v>137</v>
      </c>
      <c r="J2180" s="1142">
        <v>111</v>
      </c>
      <c r="K2180" s="1142">
        <v>66</v>
      </c>
      <c r="L2180" s="1142">
        <v>45</v>
      </c>
      <c r="M2180" s="1142">
        <v>23</v>
      </c>
      <c r="N2180" s="1143">
        <v>16</v>
      </c>
      <c r="O2180" s="1144">
        <v>624</v>
      </c>
      <c r="P2180" s="323"/>
      <c r="Q2180" s="323"/>
      <c r="R2180" s="326"/>
      <c r="S2180" s="326"/>
      <c r="T2180" s="327"/>
      <c r="U2180" s="326"/>
      <c r="V2180" s="328"/>
      <c r="W2180" s="323"/>
      <c r="X2180" s="323"/>
      <c r="Y2180" s="323"/>
    </row>
    <row r="2181" spans="1:25" s="1130" customFormat="1" ht="13.2" hidden="1">
      <c r="A2181" s="1321"/>
      <c r="B2181" s="1137" t="s">
        <v>18</v>
      </c>
      <c r="C2181" s="1134">
        <v>15</v>
      </c>
      <c r="D2181" s="1135">
        <v>25</v>
      </c>
      <c r="E2181" s="1135">
        <v>43</v>
      </c>
      <c r="F2181" s="1135">
        <v>61</v>
      </c>
      <c r="G2181" s="1135">
        <v>84</v>
      </c>
      <c r="H2181" s="1135">
        <v>104</v>
      </c>
      <c r="I2181" s="1135">
        <v>99</v>
      </c>
      <c r="J2181" s="1135">
        <v>82</v>
      </c>
      <c r="K2181" s="1135">
        <v>48</v>
      </c>
      <c r="L2181" s="1135">
        <v>34</v>
      </c>
      <c r="M2181" s="1135">
        <v>17</v>
      </c>
      <c r="N2181" s="1136">
        <v>12</v>
      </c>
      <c r="O2181" s="1145">
        <v>457</v>
      </c>
      <c r="P2181" s="323"/>
      <c r="Q2181" s="323"/>
      <c r="R2181" s="326"/>
      <c r="S2181" s="326"/>
      <c r="T2181" s="327"/>
      <c r="U2181" s="326"/>
      <c r="V2181" s="328"/>
      <c r="W2181" s="323"/>
      <c r="X2181" s="323"/>
      <c r="Y2181" s="323"/>
    </row>
    <row r="2182" spans="1:25" s="1130" customFormat="1" ht="13.2" hidden="1">
      <c r="A2182" s="1319" t="s">
        <v>3362</v>
      </c>
      <c r="B2182" s="1140" t="s">
        <v>15</v>
      </c>
      <c r="C2182" s="1141">
        <v>26</v>
      </c>
      <c r="D2182" s="1142">
        <v>45</v>
      </c>
      <c r="E2182" s="1142">
        <v>85</v>
      </c>
      <c r="F2182" s="1142">
        <v>124</v>
      </c>
      <c r="G2182" s="1142">
        <v>165</v>
      </c>
      <c r="H2182" s="1142">
        <v>213</v>
      </c>
      <c r="I2182" s="1142">
        <v>204</v>
      </c>
      <c r="J2182" s="1142">
        <v>171</v>
      </c>
      <c r="K2182" s="1142">
        <v>94</v>
      </c>
      <c r="L2182" s="1142">
        <v>67</v>
      </c>
      <c r="M2182" s="1142">
        <v>31</v>
      </c>
      <c r="N2182" s="1143">
        <v>20</v>
      </c>
      <c r="O2182" s="1144">
        <v>912</v>
      </c>
      <c r="P2182" s="323"/>
      <c r="Q2182" s="323"/>
      <c r="R2182" s="326"/>
      <c r="S2182" s="326"/>
      <c r="T2182" s="327"/>
      <c r="U2182" s="326"/>
      <c r="V2182" s="328"/>
      <c r="W2182" s="323"/>
      <c r="X2182" s="323"/>
      <c r="Y2182" s="323"/>
    </row>
    <row r="2183" spans="1:25" s="1130" customFormat="1" ht="13.2" hidden="1">
      <c r="A2183" s="1320"/>
      <c r="B2183" s="1140" t="s">
        <v>16</v>
      </c>
      <c r="C2183" s="1141">
        <v>23</v>
      </c>
      <c r="D2183" s="1142">
        <v>40</v>
      </c>
      <c r="E2183" s="1142">
        <v>74</v>
      </c>
      <c r="F2183" s="1142">
        <v>110</v>
      </c>
      <c r="G2183" s="1142">
        <v>147</v>
      </c>
      <c r="H2183" s="1142">
        <v>190</v>
      </c>
      <c r="I2183" s="1142">
        <v>182</v>
      </c>
      <c r="J2183" s="1142">
        <v>152</v>
      </c>
      <c r="K2183" s="1142">
        <v>83</v>
      </c>
      <c r="L2183" s="1142">
        <v>58</v>
      </c>
      <c r="M2183" s="1142">
        <v>28</v>
      </c>
      <c r="N2183" s="1143">
        <v>18</v>
      </c>
      <c r="O2183" s="1144">
        <v>810</v>
      </c>
      <c r="P2183" s="323"/>
      <c r="Q2183" s="323"/>
      <c r="R2183" s="326"/>
      <c r="S2183" s="326"/>
      <c r="T2183" s="327"/>
      <c r="U2183" s="326"/>
      <c r="V2183" s="328"/>
      <c r="W2183" s="323"/>
      <c r="X2183" s="323"/>
      <c r="Y2183" s="323"/>
    </row>
    <row r="2184" spans="1:25" s="1130" customFormat="1" ht="13.2" hidden="1">
      <c r="A2184" s="1320"/>
      <c r="B2184" s="1140" t="s">
        <v>17</v>
      </c>
      <c r="C2184" s="1141">
        <v>21</v>
      </c>
      <c r="D2184" s="1142">
        <v>35</v>
      </c>
      <c r="E2184" s="1142">
        <v>65</v>
      </c>
      <c r="F2184" s="1142">
        <v>97</v>
      </c>
      <c r="G2184" s="1142">
        <v>128</v>
      </c>
      <c r="H2184" s="1142">
        <v>167</v>
      </c>
      <c r="I2184" s="1142">
        <v>160</v>
      </c>
      <c r="J2184" s="1142">
        <v>134</v>
      </c>
      <c r="K2184" s="1142">
        <v>73</v>
      </c>
      <c r="L2184" s="1142">
        <v>51</v>
      </c>
      <c r="M2184" s="1142">
        <v>24</v>
      </c>
      <c r="N2184" s="1143">
        <v>16</v>
      </c>
      <c r="O2184" s="1144">
        <v>712</v>
      </c>
      <c r="P2184" s="323"/>
      <c r="Q2184" s="323"/>
      <c r="R2184" s="326"/>
      <c r="S2184" s="326"/>
      <c r="T2184" s="327"/>
      <c r="U2184" s="326"/>
      <c r="V2184" s="328"/>
      <c r="W2184" s="323"/>
      <c r="X2184" s="323"/>
      <c r="Y2184" s="323"/>
    </row>
    <row r="2185" spans="1:25" s="1130" customFormat="1" ht="13.2" hidden="1">
      <c r="A2185" s="1321"/>
      <c r="B2185" s="1137" t="s">
        <v>18</v>
      </c>
      <c r="C2185" s="1134">
        <v>16</v>
      </c>
      <c r="D2185" s="1135">
        <v>27</v>
      </c>
      <c r="E2185" s="1135">
        <v>49</v>
      </c>
      <c r="F2185" s="1135">
        <v>73</v>
      </c>
      <c r="G2185" s="1135">
        <v>94</v>
      </c>
      <c r="H2185" s="1135">
        <v>124</v>
      </c>
      <c r="I2185" s="1135">
        <v>119</v>
      </c>
      <c r="J2185" s="1135">
        <v>101</v>
      </c>
      <c r="K2185" s="1135">
        <v>54</v>
      </c>
      <c r="L2185" s="1135">
        <v>39</v>
      </c>
      <c r="M2185" s="1135">
        <v>18</v>
      </c>
      <c r="N2185" s="1136">
        <v>13</v>
      </c>
      <c r="O2185" s="1145">
        <v>532</v>
      </c>
      <c r="P2185" s="323"/>
      <c r="Q2185" s="323"/>
      <c r="R2185" s="326"/>
      <c r="S2185" s="326"/>
      <c r="T2185" s="327"/>
      <c r="U2185" s="326"/>
      <c r="V2185" s="328"/>
      <c r="W2185" s="323"/>
      <c r="X2185" s="323"/>
      <c r="Y2185" s="323"/>
    </row>
    <row r="2186" spans="1:25" s="1130" customFormat="1" ht="13.2" hidden="1">
      <c r="A2186" s="1319" t="s">
        <v>12</v>
      </c>
      <c r="B2186" s="1140" t="s">
        <v>15</v>
      </c>
      <c r="C2186" s="1141">
        <v>24</v>
      </c>
      <c r="D2186" s="1142">
        <v>40</v>
      </c>
      <c r="E2186" s="1142">
        <v>72</v>
      </c>
      <c r="F2186" s="1142">
        <v>110</v>
      </c>
      <c r="G2186" s="1142">
        <v>156</v>
      </c>
      <c r="H2186" s="1142">
        <v>200</v>
      </c>
      <c r="I2186" s="1142">
        <v>190</v>
      </c>
      <c r="J2186" s="1142">
        <v>153</v>
      </c>
      <c r="K2186" s="1142">
        <v>85</v>
      </c>
      <c r="L2186" s="1142">
        <v>53</v>
      </c>
      <c r="M2186" s="1142">
        <v>28</v>
      </c>
      <c r="N2186" s="1143">
        <v>19</v>
      </c>
      <c r="O2186" s="1144">
        <v>827</v>
      </c>
      <c r="P2186" s="323"/>
      <c r="Q2186" s="323"/>
      <c r="R2186" s="326"/>
      <c r="S2186" s="326"/>
      <c r="T2186" s="327"/>
      <c r="U2186" s="326"/>
      <c r="V2186" s="328"/>
      <c r="W2186" s="323"/>
      <c r="X2186" s="323"/>
      <c r="Y2186" s="323"/>
    </row>
    <row r="2187" spans="1:25" s="1130" customFormat="1" ht="13.2" hidden="1">
      <c r="A2187" s="1320"/>
      <c r="B2187" s="1140" t="s">
        <v>16</v>
      </c>
      <c r="C2187" s="1141">
        <v>21</v>
      </c>
      <c r="D2187" s="1142">
        <v>36</v>
      </c>
      <c r="E2187" s="1142">
        <v>56</v>
      </c>
      <c r="F2187" s="1142">
        <v>88</v>
      </c>
      <c r="G2187" s="1142">
        <v>132</v>
      </c>
      <c r="H2187" s="1142">
        <v>171</v>
      </c>
      <c r="I2187" s="1142">
        <v>160</v>
      </c>
      <c r="J2187" s="1142">
        <v>124</v>
      </c>
      <c r="K2187" s="1142">
        <v>68</v>
      </c>
      <c r="L2187" s="1142">
        <v>46</v>
      </c>
      <c r="M2187" s="1142">
        <v>26</v>
      </c>
      <c r="N2187" s="1143">
        <v>17</v>
      </c>
      <c r="O2187" s="1144">
        <v>693</v>
      </c>
      <c r="P2187" s="323"/>
      <c r="Q2187" s="323"/>
      <c r="R2187" s="326"/>
      <c r="S2187" s="326"/>
      <c r="T2187" s="327"/>
      <c r="U2187" s="326"/>
      <c r="V2187" s="328"/>
      <c r="W2187" s="323"/>
      <c r="X2187" s="323"/>
      <c r="Y2187" s="323"/>
    </row>
    <row r="2188" spans="1:25" s="1130" customFormat="1" ht="13.2" hidden="1">
      <c r="A2188" s="1320"/>
      <c r="B2188" s="1140" t="s">
        <v>17</v>
      </c>
      <c r="C2188" s="1141">
        <v>19</v>
      </c>
      <c r="D2188" s="1142">
        <v>32</v>
      </c>
      <c r="E2188" s="1142">
        <v>50</v>
      </c>
      <c r="F2188" s="1142">
        <v>73</v>
      </c>
      <c r="G2188" s="1142">
        <v>106</v>
      </c>
      <c r="H2188" s="1142">
        <v>137</v>
      </c>
      <c r="I2188" s="1142">
        <v>127</v>
      </c>
      <c r="J2188" s="1142">
        <v>97</v>
      </c>
      <c r="K2188" s="1142">
        <v>59</v>
      </c>
      <c r="L2188" s="1142">
        <v>42</v>
      </c>
      <c r="M2188" s="1142">
        <v>23</v>
      </c>
      <c r="N2188" s="1143">
        <v>16</v>
      </c>
      <c r="O2188" s="1144">
        <v>572</v>
      </c>
      <c r="P2188" s="323"/>
      <c r="Q2188" s="323"/>
      <c r="R2188" s="326"/>
      <c r="S2188" s="326"/>
      <c r="T2188" s="327"/>
      <c r="U2188" s="326"/>
      <c r="V2188" s="328"/>
      <c r="W2188" s="323"/>
      <c r="X2188" s="323"/>
      <c r="Y2188" s="323"/>
    </row>
    <row r="2189" spans="1:25" s="1130" customFormat="1" ht="13.2" hidden="1">
      <c r="A2189" s="1321"/>
      <c r="B2189" s="1137" t="s">
        <v>18</v>
      </c>
      <c r="C2189" s="1134">
        <v>15</v>
      </c>
      <c r="D2189" s="1135">
        <v>24</v>
      </c>
      <c r="E2189" s="1135">
        <v>39</v>
      </c>
      <c r="F2189" s="1135">
        <v>56</v>
      </c>
      <c r="G2189" s="1135">
        <v>75</v>
      </c>
      <c r="H2189" s="1135">
        <v>95</v>
      </c>
      <c r="I2189" s="1135">
        <v>90</v>
      </c>
      <c r="J2189" s="1135">
        <v>74</v>
      </c>
      <c r="K2189" s="1135">
        <v>45</v>
      </c>
      <c r="L2189" s="1135">
        <v>33</v>
      </c>
      <c r="M2189" s="1135">
        <v>17</v>
      </c>
      <c r="N2189" s="1136">
        <v>12</v>
      </c>
      <c r="O2189" s="1145">
        <v>421</v>
      </c>
      <c r="P2189" s="323"/>
      <c r="Q2189" s="323"/>
      <c r="R2189" s="326"/>
      <c r="S2189" s="326"/>
      <c r="T2189" s="327"/>
      <c r="U2189" s="326"/>
      <c r="V2189" s="328"/>
      <c r="W2189" s="323"/>
      <c r="X2189" s="323"/>
      <c r="Y2189" s="323"/>
    </row>
    <row r="2190" spans="1:25" s="1130" customFormat="1" ht="39.6" hidden="1">
      <c r="A2190" s="1146"/>
      <c r="B2190" s="1147"/>
      <c r="C2190" s="1375" t="s">
        <v>3363</v>
      </c>
      <c r="D2190" s="1376"/>
      <c r="E2190" s="1376"/>
      <c r="F2190" s="1376"/>
      <c r="G2190" s="1376"/>
      <c r="H2190" s="1376"/>
      <c r="I2190" s="1376"/>
      <c r="J2190" s="1376"/>
      <c r="K2190" s="1376"/>
      <c r="L2190" s="1376"/>
      <c r="M2190" s="1376"/>
      <c r="N2190" s="1377"/>
      <c r="O2190" s="1131" t="s">
        <v>3364</v>
      </c>
      <c r="P2190" s="323"/>
      <c r="Q2190" s="323"/>
      <c r="R2190" s="326"/>
      <c r="S2190" s="326"/>
      <c r="T2190" s="327"/>
      <c r="U2190" s="326"/>
      <c r="V2190" s="328"/>
      <c r="W2190" s="323"/>
      <c r="X2190" s="323"/>
      <c r="Y2190" s="323"/>
    </row>
    <row r="2191" spans="1:25" s="1130" customFormat="1" ht="12.75" hidden="1" customHeight="1">
      <c r="A2191" s="1148" t="s">
        <v>1894</v>
      </c>
      <c r="B2191" s="1149"/>
      <c r="C2191" s="1150">
        <v>-0.5</v>
      </c>
      <c r="D2191" s="1151">
        <v>0.3</v>
      </c>
      <c r="E2191" s="1151">
        <v>3.4</v>
      </c>
      <c r="F2191" s="1151">
        <v>6.8</v>
      </c>
      <c r="G2191" s="1151">
        <v>11.8</v>
      </c>
      <c r="H2191" s="1151">
        <v>14.4</v>
      </c>
      <c r="I2191" s="1151">
        <v>16.600000000000001</v>
      </c>
      <c r="J2191" s="1151">
        <v>16.7</v>
      </c>
      <c r="K2191" s="1151">
        <v>12.3</v>
      </c>
      <c r="L2191" s="1151">
        <v>8.5</v>
      </c>
      <c r="M2191" s="1151">
        <v>2.6</v>
      </c>
      <c r="N2191" s="1152">
        <v>-0.2</v>
      </c>
      <c r="O2191" s="1153">
        <v>7.8</v>
      </c>
      <c r="P2191" s="323"/>
      <c r="Q2191" s="323"/>
      <c r="R2191" s="326"/>
      <c r="S2191" s="326"/>
      <c r="T2191" s="327"/>
      <c r="U2191" s="326"/>
      <c r="V2191" s="328"/>
      <c r="W2191" s="323"/>
      <c r="X2191" s="323"/>
      <c r="Y2191" s="323"/>
    </row>
    <row r="2192" spans="1:25" s="1130" customFormat="1" ht="13.2" hidden="1">
      <c r="P2192" s="1155"/>
      <c r="Q2192" s="1129"/>
    </row>
    <row r="2193" spans="1:25" s="1130" customFormat="1" ht="13.2" hidden="1">
      <c r="P2193" s="1155"/>
      <c r="Q2193" s="1129"/>
    </row>
    <row r="2194" spans="1:25" s="1130" customFormat="1" ht="13.2" hidden="1">
      <c r="A2194" s="1129" t="s">
        <v>3391</v>
      </c>
      <c r="Q2194" s="1129"/>
    </row>
    <row r="2195" spans="1:25" s="1130" customFormat="1" ht="13.2" hidden="1">
      <c r="Q2195" s="1129"/>
    </row>
    <row r="2196" spans="1:25" s="1130" customFormat="1" ht="66" hidden="1">
      <c r="A2196" s="1314" t="s">
        <v>3392</v>
      </c>
      <c r="B2196" s="1315"/>
      <c r="C2196" s="1316" t="s">
        <v>3355</v>
      </c>
      <c r="D2196" s="1317"/>
      <c r="E2196" s="1317"/>
      <c r="F2196" s="1317"/>
      <c r="G2196" s="1317"/>
      <c r="H2196" s="1317"/>
      <c r="I2196" s="1317"/>
      <c r="J2196" s="1317"/>
      <c r="K2196" s="1317"/>
      <c r="L2196" s="1317"/>
      <c r="M2196" s="1317"/>
      <c r="N2196" s="1318"/>
      <c r="O2196" s="1131" t="s">
        <v>3356</v>
      </c>
      <c r="P2196" s="323"/>
      <c r="Q2196" s="1156">
        <v>15</v>
      </c>
      <c r="R2196" s="326"/>
      <c r="S2196" s="326"/>
      <c r="T2196" s="327"/>
      <c r="U2196" s="326"/>
      <c r="V2196" s="328"/>
      <c r="W2196" s="323"/>
      <c r="X2196" s="323"/>
      <c r="Y2196" s="323"/>
    </row>
    <row r="2197" spans="1:25" s="1130" customFormat="1" ht="13.2" hidden="1">
      <c r="A2197" s="1132" t="s">
        <v>77</v>
      </c>
      <c r="B2197" s="1133" t="s">
        <v>1795</v>
      </c>
      <c r="C2197" s="1134" t="s">
        <v>116</v>
      </c>
      <c r="D2197" s="1135" t="s">
        <v>117</v>
      </c>
      <c r="E2197" s="1135" t="s">
        <v>118</v>
      </c>
      <c r="F2197" s="1135" t="s">
        <v>119</v>
      </c>
      <c r="G2197" s="1135" t="s">
        <v>120</v>
      </c>
      <c r="H2197" s="1135" t="s">
        <v>121</v>
      </c>
      <c r="I2197" s="1135" t="s">
        <v>122</v>
      </c>
      <c r="J2197" s="1135" t="s">
        <v>123</v>
      </c>
      <c r="K2197" s="1135" t="s">
        <v>124</v>
      </c>
      <c r="L2197" s="1135" t="s">
        <v>125</v>
      </c>
      <c r="M2197" s="1135" t="s">
        <v>126</v>
      </c>
      <c r="N2197" s="1136" t="s">
        <v>127</v>
      </c>
      <c r="O2197" s="1137" t="s">
        <v>3357</v>
      </c>
      <c r="P2197" s="323"/>
      <c r="Q2197" s="323"/>
      <c r="R2197" s="326"/>
      <c r="S2197" s="326"/>
      <c r="T2197" s="327"/>
      <c r="U2197" s="326"/>
      <c r="V2197" s="328"/>
      <c r="W2197" s="323"/>
      <c r="X2197" s="323"/>
      <c r="Y2197" s="323"/>
    </row>
    <row r="2198" spans="1:25" s="1130" customFormat="1" ht="13.2" hidden="1">
      <c r="A2198" s="1138" t="s">
        <v>3358</v>
      </c>
      <c r="B2198" s="1137" t="s">
        <v>14</v>
      </c>
      <c r="C2198" s="1134">
        <v>45</v>
      </c>
      <c r="D2198" s="1135">
        <v>68</v>
      </c>
      <c r="E2198" s="1135">
        <v>105</v>
      </c>
      <c r="F2198" s="1135">
        <v>147</v>
      </c>
      <c r="G2198" s="1135">
        <v>200</v>
      </c>
      <c r="H2198" s="1135">
        <v>217</v>
      </c>
      <c r="I2198" s="1135">
        <v>216</v>
      </c>
      <c r="J2198" s="1135">
        <v>202</v>
      </c>
      <c r="K2198" s="1135">
        <v>127</v>
      </c>
      <c r="L2198" s="1135">
        <v>88</v>
      </c>
      <c r="M2198" s="1135">
        <v>62</v>
      </c>
      <c r="N2198" s="1136">
        <v>42</v>
      </c>
      <c r="O2198" s="1139">
        <v>1112</v>
      </c>
      <c r="P2198" s="323"/>
      <c r="Q2198" s="323"/>
      <c r="R2198" s="326"/>
      <c r="S2198" s="326"/>
      <c r="T2198" s="327"/>
      <c r="U2198" s="326"/>
      <c r="V2198" s="328"/>
      <c r="W2198" s="323"/>
      <c r="X2198" s="323"/>
      <c r="Y2198" s="323"/>
    </row>
    <row r="2199" spans="1:25" s="1130" customFormat="1" ht="13.2" hidden="1">
      <c r="A2199" s="1319" t="s">
        <v>11</v>
      </c>
      <c r="B2199" s="1140" t="s">
        <v>15</v>
      </c>
      <c r="C2199" s="1141">
        <v>68</v>
      </c>
      <c r="D2199" s="1142">
        <v>85</v>
      </c>
      <c r="E2199" s="1142">
        <v>122</v>
      </c>
      <c r="F2199" s="1142">
        <v>154</v>
      </c>
      <c r="G2199" s="1142">
        <v>199</v>
      </c>
      <c r="H2199" s="1142">
        <v>212</v>
      </c>
      <c r="I2199" s="1142">
        <v>214</v>
      </c>
      <c r="J2199" s="1142">
        <v>213</v>
      </c>
      <c r="K2199" s="1142">
        <v>139</v>
      </c>
      <c r="L2199" s="1142">
        <v>109</v>
      </c>
      <c r="M2199" s="1142">
        <v>93</v>
      </c>
      <c r="N2199" s="1143">
        <v>72</v>
      </c>
      <c r="O2199" s="1144">
        <v>1231</v>
      </c>
      <c r="P2199" s="323"/>
      <c r="Q2199" s="323"/>
      <c r="R2199" s="326"/>
      <c r="S2199" s="326"/>
      <c r="T2199" s="327"/>
      <c r="U2199" s="326"/>
      <c r="V2199" s="328"/>
      <c r="W2199" s="323"/>
      <c r="X2199" s="323"/>
      <c r="Y2199" s="323"/>
    </row>
    <row r="2200" spans="1:25" s="1130" customFormat="1" ht="13.2" hidden="1">
      <c r="A2200" s="1320"/>
      <c r="B2200" s="1140" t="s">
        <v>16</v>
      </c>
      <c r="C2200" s="1141">
        <v>75</v>
      </c>
      <c r="D2200" s="1142">
        <v>88</v>
      </c>
      <c r="E2200" s="1142">
        <v>122</v>
      </c>
      <c r="F2200" s="1142">
        <v>148</v>
      </c>
      <c r="G2200" s="1142">
        <v>186</v>
      </c>
      <c r="H2200" s="1142">
        <v>196</v>
      </c>
      <c r="I2200" s="1142">
        <v>199</v>
      </c>
      <c r="J2200" s="1142">
        <v>204</v>
      </c>
      <c r="K2200" s="1142">
        <v>136</v>
      </c>
      <c r="L2200" s="1142">
        <v>112</v>
      </c>
      <c r="M2200" s="1142">
        <v>103</v>
      </c>
      <c r="N2200" s="1143">
        <v>82</v>
      </c>
      <c r="O2200" s="1144">
        <v>1208</v>
      </c>
      <c r="P2200" s="323"/>
      <c r="Q2200" s="323"/>
      <c r="R2200" s="326"/>
      <c r="S2200" s="326"/>
      <c r="T2200" s="327"/>
      <c r="U2200" s="326"/>
      <c r="V2200" s="328"/>
      <c r="W2200" s="323"/>
      <c r="X2200" s="323"/>
      <c r="Y2200" s="323"/>
    </row>
    <row r="2201" spans="1:25" s="1130" customFormat="1" ht="13.2" hidden="1">
      <c r="A2201" s="1320"/>
      <c r="B2201" s="1140" t="s">
        <v>17</v>
      </c>
      <c r="C2201" s="1141">
        <v>78</v>
      </c>
      <c r="D2201" s="1142">
        <v>88</v>
      </c>
      <c r="E2201" s="1142">
        <v>117</v>
      </c>
      <c r="F2201" s="1142">
        <v>135</v>
      </c>
      <c r="G2201" s="1142">
        <v>165</v>
      </c>
      <c r="H2201" s="1142">
        <v>172</v>
      </c>
      <c r="I2201" s="1142">
        <v>177</v>
      </c>
      <c r="J2201" s="1142">
        <v>186</v>
      </c>
      <c r="K2201" s="1142">
        <v>127</v>
      </c>
      <c r="L2201" s="1142">
        <v>110</v>
      </c>
      <c r="M2201" s="1142">
        <v>107</v>
      </c>
      <c r="N2201" s="1143">
        <v>87</v>
      </c>
      <c r="O2201" s="1144">
        <v>1134</v>
      </c>
      <c r="P2201" s="323"/>
      <c r="Q2201" s="323"/>
      <c r="R2201" s="326"/>
      <c r="S2201" s="326"/>
      <c r="T2201" s="327"/>
      <c r="U2201" s="326"/>
      <c r="V2201" s="328"/>
      <c r="W2201" s="323"/>
      <c r="X2201" s="323"/>
      <c r="Y2201" s="323"/>
    </row>
    <row r="2202" spans="1:25" s="1130" customFormat="1" ht="13.2" hidden="1">
      <c r="A2202" s="1321"/>
      <c r="B2202" s="1137" t="s">
        <v>18</v>
      </c>
      <c r="C2202" s="1134">
        <v>72</v>
      </c>
      <c r="D2202" s="1135">
        <v>74</v>
      </c>
      <c r="E2202" s="1135">
        <v>92</v>
      </c>
      <c r="F2202" s="1135">
        <v>97</v>
      </c>
      <c r="G2202" s="1135">
        <v>111</v>
      </c>
      <c r="H2202" s="1135">
        <v>112</v>
      </c>
      <c r="I2202" s="1135">
        <v>118</v>
      </c>
      <c r="J2202" s="1135">
        <v>129</v>
      </c>
      <c r="K2202" s="1135">
        <v>96</v>
      </c>
      <c r="L2202" s="1135">
        <v>90</v>
      </c>
      <c r="M2202" s="1135">
        <v>98</v>
      </c>
      <c r="N2202" s="1136">
        <v>83</v>
      </c>
      <c r="O2202" s="1145">
        <v>858</v>
      </c>
      <c r="P2202" s="323"/>
      <c r="Q2202" s="323"/>
      <c r="R2202" s="326"/>
      <c r="S2202" s="326"/>
      <c r="T2202" s="327"/>
      <c r="U2202" s="326"/>
      <c r="V2202" s="328"/>
      <c r="W2202" s="323"/>
      <c r="X2202" s="323"/>
      <c r="Y2202" s="323"/>
    </row>
    <row r="2203" spans="1:25" s="1130" customFormat="1" ht="13.2" hidden="1">
      <c r="A2203" s="1319" t="s">
        <v>3359</v>
      </c>
      <c r="B2203" s="1140" t="s">
        <v>15</v>
      </c>
      <c r="C2203" s="1141">
        <v>64</v>
      </c>
      <c r="D2203" s="1142">
        <v>83</v>
      </c>
      <c r="E2203" s="1142">
        <v>121</v>
      </c>
      <c r="F2203" s="1142">
        <v>156</v>
      </c>
      <c r="G2203" s="1142">
        <v>203</v>
      </c>
      <c r="H2203" s="1142">
        <v>219</v>
      </c>
      <c r="I2203" s="1142">
        <v>218</v>
      </c>
      <c r="J2203" s="1142">
        <v>221</v>
      </c>
      <c r="K2203" s="1142">
        <v>140</v>
      </c>
      <c r="L2203" s="1142">
        <v>105</v>
      </c>
      <c r="M2203" s="1142">
        <v>90</v>
      </c>
      <c r="N2203" s="1143">
        <v>67</v>
      </c>
      <c r="O2203" s="1144">
        <v>1233</v>
      </c>
      <c r="P2203" s="323"/>
      <c r="Q2203" s="323"/>
      <c r="R2203" s="326"/>
      <c r="S2203" s="326"/>
      <c r="T2203" s="327"/>
      <c r="U2203" s="326"/>
      <c r="V2203" s="328"/>
      <c r="W2203" s="323"/>
      <c r="X2203" s="323"/>
      <c r="Y2203" s="323"/>
    </row>
    <row r="2204" spans="1:25" s="1130" customFormat="1" ht="13.2" hidden="1">
      <c r="A2204" s="1320"/>
      <c r="B2204" s="1140" t="s">
        <v>16</v>
      </c>
      <c r="C2204" s="1141">
        <v>70</v>
      </c>
      <c r="D2204" s="1142">
        <v>86</v>
      </c>
      <c r="E2204" s="1142">
        <v>121</v>
      </c>
      <c r="F2204" s="1142">
        <v>150</v>
      </c>
      <c r="G2204" s="1142">
        <v>191</v>
      </c>
      <c r="H2204" s="1142">
        <v>206</v>
      </c>
      <c r="I2204" s="1142">
        <v>206</v>
      </c>
      <c r="J2204" s="1142">
        <v>215</v>
      </c>
      <c r="K2204" s="1142">
        <v>138</v>
      </c>
      <c r="L2204" s="1142">
        <v>107</v>
      </c>
      <c r="M2204" s="1142">
        <v>97</v>
      </c>
      <c r="N2204" s="1143">
        <v>74</v>
      </c>
      <c r="O2204" s="1144">
        <v>1215</v>
      </c>
      <c r="P2204" s="323"/>
      <c r="Q2204" s="323"/>
      <c r="R2204" s="326"/>
      <c r="S2204" s="326"/>
      <c r="T2204" s="327"/>
      <c r="U2204" s="326"/>
      <c r="V2204" s="328"/>
      <c r="W2204" s="323"/>
      <c r="X2204" s="323"/>
      <c r="Y2204" s="323"/>
    </row>
    <row r="2205" spans="1:25" s="1130" customFormat="1" ht="13.2" hidden="1">
      <c r="A2205" s="1320"/>
      <c r="B2205" s="1140" t="s">
        <v>17</v>
      </c>
      <c r="C2205" s="1141">
        <v>72</v>
      </c>
      <c r="D2205" s="1142">
        <v>85</v>
      </c>
      <c r="E2205" s="1142">
        <v>116</v>
      </c>
      <c r="F2205" s="1142">
        <v>139</v>
      </c>
      <c r="G2205" s="1142">
        <v>173</v>
      </c>
      <c r="H2205" s="1142">
        <v>186</v>
      </c>
      <c r="I2205" s="1142">
        <v>186</v>
      </c>
      <c r="J2205" s="1142">
        <v>201</v>
      </c>
      <c r="K2205" s="1142">
        <v>130</v>
      </c>
      <c r="L2205" s="1142">
        <v>103</v>
      </c>
      <c r="M2205" s="1142">
        <v>100</v>
      </c>
      <c r="N2205" s="1143">
        <v>78</v>
      </c>
      <c r="O2205" s="1144">
        <v>1149</v>
      </c>
      <c r="P2205" s="323"/>
      <c r="Q2205" s="323"/>
      <c r="R2205" s="326"/>
      <c r="S2205" s="326"/>
      <c r="T2205" s="327"/>
      <c r="U2205" s="326"/>
      <c r="V2205" s="328"/>
      <c r="W2205" s="323"/>
      <c r="X2205" s="323"/>
      <c r="Y2205" s="323"/>
    </row>
    <row r="2206" spans="1:25" s="1130" customFormat="1" ht="13.2" hidden="1">
      <c r="A2206" s="1321"/>
      <c r="B2206" s="1137" t="s">
        <v>18</v>
      </c>
      <c r="C2206" s="1134">
        <v>65</v>
      </c>
      <c r="D2206" s="1135">
        <v>71</v>
      </c>
      <c r="E2206" s="1135">
        <v>93</v>
      </c>
      <c r="F2206" s="1135">
        <v>104</v>
      </c>
      <c r="G2206" s="1135">
        <v>125</v>
      </c>
      <c r="H2206" s="1135">
        <v>133</v>
      </c>
      <c r="I2206" s="1135">
        <v>133</v>
      </c>
      <c r="J2206" s="1135">
        <v>151</v>
      </c>
      <c r="K2206" s="1135">
        <v>100</v>
      </c>
      <c r="L2206" s="1135">
        <v>84</v>
      </c>
      <c r="M2206" s="1135">
        <v>90</v>
      </c>
      <c r="N2206" s="1136">
        <v>73</v>
      </c>
      <c r="O2206" s="1145">
        <v>893</v>
      </c>
      <c r="P2206" s="323"/>
      <c r="Q2206" s="323"/>
      <c r="R2206" s="326"/>
      <c r="S2206" s="326"/>
      <c r="T2206" s="327"/>
      <c r="U2206" s="326"/>
      <c r="V2206" s="328"/>
      <c r="W2206" s="323"/>
      <c r="X2206" s="323"/>
      <c r="Y2206" s="323"/>
    </row>
    <row r="2207" spans="1:25" s="1130" customFormat="1" ht="13.2" hidden="1">
      <c r="A2207" s="1319" t="s">
        <v>3360</v>
      </c>
      <c r="B2207" s="1140" t="s">
        <v>15</v>
      </c>
      <c r="C2207" s="1141">
        <v>56</v>
      </c>
      <c r="D2207" s="1142">
        <v>74</v>
      </c>
      <c r="E2207" s="1142">
        <v>109</v>
      </c>
      <c r="F2207" s="1142">
        <v>144</v>
      </c>
      <c r="G2207" s="1142">
        <v>190</v>
      </c>
      <c r="H2207" s="1142">
        <v>202</v>
      </c>
      <c r="I2207" s="1142">
        <v>204</v>
      </c>
      <c r="J2207" s="1142">
        <v>194</v>
      </c>
      <c r="K2207" s="1142">
        <v>127</v>
      </c>
      <c r="L2207" s="1142">
        <v>97</v>
      </c>
      <c r="M2207" s="1142">
        <v>76</v>
      </c>
      <c r="N2207" s="1143">
        <v>57</v>
      </c>
      <c r="O2207" s="1144">
        <v>1120</v>
      </c>
      <c r="P2207" s="323"/>
      <c r="Q2207" s="323"/>
      <c r="R2207" s="326"/>
      <c r="S2207" s="326"/>
      <c r="T2207" s="327"/>
      <c r="U2207" s="326"/>
      <c r="V2207" s="328"/>
      <c r="W2207" s="323"/>
      <c r="X2207" s="323"/>
      <c r="Y2207" s="323"/>
    </row>
    <row r="2208" spans="1:25" s="1130" customFormat="1" ht="13.2" hidden="1">
      <c r="A2208" s="1320"/>
      <c r="B2208" s="1140" t="s">
        <v>16</v>
      </c>
      <c r="C2208" s="1141">
        <v>58</v>
      </c>
      <c r="D2208" s="1142">
        <v>73</v>
      </c>
      <c r="E2208" s="1142">
        <v>105</v>
      </c>
      <c r="F2208" s="1142">
        <v>135</v>
      </c>
      <c r="G2208" s="1142">
        <v>175</v>
      </c>
      <c r="H2208" s="1142">
        <v>184</v>
      </c>
      <c r="I2208" s="1142">
        <v>188</v>
      </c>
      <c r="J2208" s="1142">
        <v>181</v>
      </c>
      <c r="K2208" s="1142">
        <v>120</v>
      </c>
      <c r="L2208" s="1142">
        <v>96</v>
      </c>
      <c r="M2208" s="1142">
        <v>79</v>
      </c>
      <c r="N2208" s="1143">
        <v>61</v>
      </c>
      <c r="O2208" s="1144">
        <v>1065</v>
      </c>
      <c r="P2208" s="323"/>
      <c r="Q2208" s="323"/>
      <c r="R2208" s="326"/>
      <c r="S2208" s="326"/>
      <c r="T2208" s="327"/>
      <c r="U2208" s="326"/>
      <c r="V2208" s="328"/>
      <c r="W2208" s="323"/>
      <c r="X2208" s="323"/>
      <c r="Y2208" s="323"/>
    </row>
    <row r="2209" spans="1:25" s="1130" customFormat="1" ht="13.2" hidden="1">
      <c r="A2209" s="1320"/>
      <c r="B2209" s="1140" t="s">
        <v>17</v>
      </c>
      <c r="C2209" s="1141">
        <v>58</v>
      </c>
      <c r="D2209" s="1142">
        <v>69</v>
      </c>
      <c r="E2209" s="1142">
        <v>97</v>
      </c>
      <c r="F2209" s="1142">
        <v>122</v>
      </c>
      <c r="G2209" s="1142">
        <v>155</v>
      </c>
      <c r="H2209" s="1142">
        <v>162</v>
      </c>
      <c r="I2209" s="1142">
        <v>166</v>
      </c>
      <c r="J2209" s="1142">
        <v>163</v>
      </c>
      <c r="K2209" s="1142">
        <v>109</v>
      </c>
      <c r="L2209" s="1142">
        <v>91</v>
      </c>
      <c r="M2209" s="1142">
        <v>77</v>
      </c>
      <c r="N2209" s="1143">
        <v>62</v>
      </c>
      <c r="O2209" s="1144">
        <v>975</v>
      </c>
      <c r="P2209" s="323"/>
      <c r="Q2209" s="323"/>
      <c r="R2209" s="326"/>
      <c r="S2209" s="326"/>
      <c r="T2209" s="327"/>
      <c r="U2209" s="326"/>
      <c r="V2209" s="328"/>
      <c r="W2209" s="323"/>
      <c r="X2209" s="323"/>
      <c r="Y2209" s="323"/>
    </row>
    <row r="2210" spans="1:25" s="1130" customFormat="1" ht="13.2" hidden="1">
      <c r="A2210" s="1321"/>
      <c r="B2210" s="1137" t="s">
        <v>18</v>
      </c>
      <c r="C2210" s="1134">
        <v>49</v>
      </c>
      <c r="D2210" s="1135">
        <v>54</v>
      </c>
      <c r="E2210" s="1135">
        <v>73</v>
      </c>
      <c r="F2210" s="1135">
        <v>88</v>
      </c>
      <c r="G2210" s="1135">
        <v>108</v>
      </c>
      <c r="H2210" s="1135">
        <v>113</v>
      </c>
      <c r="I2210" s="1135">
        <v>116</v>
      </c>
      <c r="J2210" s="1135">
        <v>115</v>
      </c>
      <c r="K2210" s="1135">
        <v>79</v>
      </c>
      <c r="L2210" s="1135">
        <v>71</v>
      </c>
      <c r="M2210" s="1135">
        <v>65</v>
      </c>
      <c r="N2210" s="1136">
        <v>55</v>
      </c>
      <c r="O2210" s="1145">
        <v>721</v>
      </c>
      <c r="P2210" s="323"/>
      <c r="Q2210" s="323"/>
      <c r="R2210" s="326"/>
      <c r="S2210" s="326"/>
      <c r="T2210" s="327"/>
      <c r="U2210" s="326"/>
      <c r="V2210" s="328"/>
      <c r="W2210" s="323"/>
      <c r="X2210" s="323"/>
      <c r="Y2210" s="323"/>
    </row>
    <row r="2211" spans="1:25" s="1130" customFormat="1" ht="13.2" hidden="1">
      <c r="A2211" s="1319" t="s">
        <v>980</v>
      </c>
      <c r="B2211" s="1140" t="s">
        <v>15</v>
      </c>
      <c r="C2211" s="1141">
        <v>48</v>
      </c>
      <c r="D2211" s="1142">
        <v>70</v>
      </c>
      <c r="E2211" s="1142">
        <v>106</v>
      </c>
      <c r="F2211" s="1142">
        <v>145</v>
      </c>
      <c r="G2211" s="1142">
        <v>195</v>
      </c>
      <c r="H2211" s="1142">
        <v>216</v>
      </c>
      <c r="I2211" s="1142">
        <v>211</v>
      </c>
      <c r="J2211" s="1142">
        <v>208</v>
      </c>
      <c r="K2211" s="1142">
        <v>127</v>
      </c>
      <c r="L2211" s="1142">
        <v>88</v>
      </c>
      <c r="M2211" s="1142">
        <v>67</v>
      </c>
      <c r="N2211" s="1143">
        <v>46</v>
      </c>
      <c r="O2211" s="1144">
        <v>1118</v>
      </c>
      <c r="P2211" s="323"/>
      <c r="Q2211" s="323"/>
      <c r="R2211" s="326"/>
      <c r="S2211" s="326"/>
      <c r="T2211" s="327"/>
      <c r="U2211" s="326"/>
      <c r="V2211" s="328"/>
      <c r="W2211" s="323"/>
      <c r="X2211" s="323"/>
      <c r="Y2211" s="323"/>
    </row>
    <row r="2212" spans="1:25" s="1130" customFormat="1" ht="13.2" hidden="1">
      <c r="A2212" s="1320"/>
      <c r="B2212" s="1140" t="s">
        <v>16</v>
      </c>
      <c r="C2212" s="1141">
        <v>47</v>
      </c>
      <c r="D2212" s="1142">
        <v>67</v>
      </c>
      <c r="E2212" s="1142">
        <v>101</v>
      </c>
      <c r="F2212" s="1142">
        <v>137</v>
      </c>
      <c r="G2212" s="1142">
        <v>183</v>
      </c>
      <c r="H2212" s="1142">
        <v>204</v>
      </c>
      <c r="I2212" s="1142">
        <v>198</v>
      </c>
      <c r="J2212" s="1142">
        <v>200</v>
      </c>
      <c r="K2212" s="1142">
        <v>121</v>
      </c>
      <c r="L2212" s="1142">
        <v>84</v>
      </c>
      <c r="M2212" s="1142">
        <v>67</v>
      </c>
      <c r="N2212" s="1143">
        <v>46</v>
      </c>
      <c r="O2212" s="1144">
        <v>1065</v>
      </c>
      <c r="P2212" s="323"/>
      <c r="Q2212" s="323"/>
      <c r="R2212" s="326"/>
      <c r="S2212" s="326"/>
      <c r="T2212" s="327"/>
      <c r="U2212" s="326"/>
      <c r="V2212" s="328"/>
      <c r="W2212" s="323"/>
      <c r="X2212" s="323"/>
      <c r="Y2212" s="323"/>
    </row>
    <row r="2213" spans="1:25" s="1130" customFormat="1" ht="13.2" hidden="1">
      <c r="A2213" s="1320"/>
      <c r="B2213" s="1140" t="s">
        <v>17</v>
      </c>
      <c r="C2213" s="1141">
        <v>45</v>
      </c>
      <c r="D2213" s="1142">
        <v>63</v>
      </c>
      <c r="E2213" s="1142">
        <v>94</v>
      </c>
      <c r="F2213" s="1142">
        <v>126</v>
      </c>
      <c r="G2213" s="1142">
        <v>166</v>
      </c>
      <c r="H2213" s="1142">
        <v>186</v>
      </c>
      <c r="I2213" s="1142">
        <v>179</v>
      </c>
      <c r="J2213" s="1142">
        <v>187</v>
      </c>
      <c r="K2213" s="1142">
        <v>111</v>
      </c>
      <c r="L2213" s="1142">
        <v>78</v>
      </c>
      <c r="M2213" s="1142">
        <v>65</v>
      </c>
      <c r="N2213" s="1143">
        <v>45</v>
      </c>
      <c r="O2213" s="1144">
        <v>984</v>
      </c>
      <c r="P2213" s="323"/>
      <c r="Q2213" s="323"/>
      <c r="R2213" s="326"/>
      <c r="S2213" s="326"/>
      <c r="T2213" s="327"/>
      <c r="U2213" s="326"/>
      <c r="V2213" s="328"/>
      <c r="W2213" s="323"/>
      <c r="X2213" s="323"/>
      <c r="Y2213" s="323"/>
    </row>
    <row r="2214" spans="1:25" s="1130" customFormat="1" ht="13.2" hidden="1">
      <c r="A2214" s="1321"/>
      <c r="B2214" s="1137" t="s">
        <v>18</v>
      </c>
      <c r="C2214" s="1134">
        <v>37</v>
      </c>
      <c r="D2214" s="1135">
        <v>50</v>
      </c>
      <c r="E2214" s="1135">
        <v>73</v>
      </c>
      <c r="F2214" s="1135">
        <v>95</v>
      </c>
      <c r="G2214" s="1135">
        <v>124</v>
      </c>
      <c r="H2214" s="1135">
        <v>141</v>
      </c>
      <c r="I2214" s="1135">
        <v>133</v>
      </c>
      <c r="J2214" s="1135">
        <v>145</v>
      </c>
      <c r="K2214" s="1135">
        <v>84</v>
      </c>
      <c r="L2214" s="1135">
        <v>60</v>
      </c>
      <c r="M2214" s="1135">
        <v>54</v>
      </c>
      <c r="N2214" s="1136">
        <v>38</v>
      </c>
      <c r="O2214" s="1145">
        <v>758</v>
      </c>
      <c r="P2214" s="323"/>
      <c r="Q2214" s="323"/>
      <c r="R2214" s="326"/>
      <c r="S2214" s="326"/>
      <c r="T2214" s="327"/>
      <c r="U2214" s="326"/>
      <c r="V2214" s="328"/>
      <c r="W2214" s="323"/>
      <c r="X2214" s="323"/>
      <c r="Y2214" s="323"/>
    </row>
    <row r="2215" spans="1:25" s="1130" customFormat="1" ht="13.2" hidden="1">
      <c r="A2215" s="1319" t="s">
        <v>981</v>
      </c>
      <c r="B2215" s="1140" t="s">
        <v>15</v>
      </c>
      <c r="C2215" s="1141">
        <v>39</v>
      </c>
      <c r="D2215" s="1142">
        <v>59</v>
      </c>
      <c r="E2215" s="1142">
        <v>91</v>
      </c>
      <c r="F2215" s="1142">
        <v>130</v>
      </c>
      <c r="G2215" s="1142">
        <v>177</v>
      </c>
      <c r="H2215" s="1142">
        <v>189</v>
      </c>
      <c r="I2215" s="1142">
        <v>191</v>
      </c>
      <c r="J2215" s="1142">
        <v>172</v>
      </c>
      <c r="K2215" s="1142">
        <v>110</v>
      </c>
      <c r="L2215" s="1142">
        <v>79</v>
      </c>
      <c r="M2215" s="1142">
        <v>53</v>
      </c>
      <c r="N2215" s="1143">
        <v>36</v>
      </c>
      <c r="O2215" s="1144">
        <v>971</v>
      </c>
      <c r="P2215" s="323"/>
      <c r="Q2215" s="323"/>
      <c r="R2215" s="326"/>
      <c r="S2215" s="326"/>
      <c r="T2215" s="327"/>
      <c r="U2215" s="326"/>
      <c r="V2215" s="328"/>
      <c r="W2215" s="323"/>
      <c r="X2215" s="323"/>
      <c r="Y2215" s="323"/>
    </row>
    <row r="2216" spans="1:25" s="1130" customFormat="1" ht="13.2" hidden="1">
      <c r="A2216" s="1320"/>
      <c r="B2216" s="1140" t="s">
        <v>16</v>
      </c>
      <c r="C2216" s="1141">
        <v>36</v>
      </c>
      <c r="D2216" s="1142">
        <v>54</v>
      </c>
      <c r="E2216" s="1142">
        <v>83</v>
      </c>
      <c r="F2216" s="1142">
        <v>117</v>
      </c>
      <c r="G2216" s="1142">
        <v>160</v>
      </c>
      <c r="H2216" s="1142">
        <v>170</v>
      </c>
      <c r="I2216" s="1142">
        <v>172</v>
      </c>
      <c r="J2216" s="1142">
        <v>154</v>
      </c>
      <c r="K2216" s="1142">
        <v>99</v>
      </c>
      <c r="L2216" s="1142">
        <v>72</v>
      </c>
      <c r="M2216" s="1142">
        <v>49</v>
      </c>
      <c r="N2216" s="1143">
        <v>34</v>
      </c>
      <c r="O2216" s="1144">
        <v>878</v>
      </c>
      <c r="P2216" s="323"/>
      <c r="Q2216" s="323"/>
      <c r="R2216" s="326"/>
      <c r="S2216" s="326"/>
      <c r="T2216" s="327"/>
      <c r="U2216" s="326"/>
      <c r="V2216" s="328"/>
      <c r="W2216" s="323"/>
      <c r="X2216" s="323"/>
      <c r="Y2216" s="323"/>
    </row>
    <row r="2217" spans="1:25" s="1130" customFormat="1" ht="13.2" hidden="1">
      <c r="A2217" s="1320"/>
      <c r="B2217" s="1140" t="s">
        <v>17</v>
      </c>
      <c r="C2217" s="1141">
        <v>33</v>
      </c>
      <c r="D2217" s="1142">
        <v>48</v>
      </c>
      <c r="E2217" s="1142">
        <v>74</v>
      </c>
      <c r="F2217" s="1142">
        <v>104</v>
      </c>
      <c r="G2217" s="1142">
        <v>141</v>
      </c>
      <c r="H2217" s="1142">
        <v>150</v>
      </c>
      <c r="I2217" s="1142">
        <v>151</v>
      </c>
      <c r="J2217" s="1142">
        <v>136</v>
      </c>
      <c r="K2217" s="1142">
        <v>87</v>
      </c>
      <c r="L2217" s="1142">
        <v>65</v>
      </c>
      <c r="M2217" s="1142">
        <v>45</v>
      </c>
      <c r="N2217" s="1143">
        <v>31</v>
      </c>
      <c r="O2217" s="1144">
        <v>778</v>
      </c>
      <c r="P2217" s="323"/>
      <c r="Q2217" s="323"/>
      <c r="R2217" s="326"/>
      <c r="S2217" s="326"/>
      <c r="T2217" s="327"/>
      <c r="U2217" s="326"/>
      <c r="V2217" s="328"/>
      <c r="W2217" s="323"/>
      <c r="X2217" s="323"/>
      <c r="Y2217" s="323"/>
    </row>
    <row r="2218" spans="1:25" s="1130" customFormat="1" ht="13.2" hidden="1">
      <c r="A2218" s="1321"/>
      <c r="B2218" s="1137" t="s">
        <v>18</v>
      </c>
      <c r="C2218" s="1134">
        <v>25</v>
      </c>
      <c r="D2218" s="1135">
        <v>35</v>
      </c>
      <c r="E2218" s="1135">
        <v>54</v>
      </c>
      <c r="F2218" s="1135">
        <v>76</v>
      </c>
      <c r="G2218" s="1135">
        <v>102</v>
      </c>
      <c r="H2218" s="1135">
        <v>109</v>
      </c>
      <c r="I2218" s="1135">
        <v>109</v>
      </c>
      <c r="J2218" s="1135">
        <v>100</v>
      </c>
      <c r="K2218" s="1135">
        <v>63</v>
      </c>
      <c r="L2218" s="1135">
        <v>48</v>
      </c>
      <c r="M2218" s="1135">
        <v>34</v>
      </c>
      <c r="N2218" s="1136">
        <v>24</v>
      </c>
      <c r="O2218" s="1145">
        <v>571</v>
      </c>
      <c r="P2218" s="323"/>
      <c r="Q2218" s="323"/>
      <c r="R2218" s="326"/>
      <c r="S2218" s="326"/>
      <c r="T2218" s="327"/>
      <c r="U2218" s="326"/>
      <c r="V2218" s="328"/>
      <c r="W2218" s="323"/>
      <c r="X2218" s="323"/>
      <c r="Y2218" s="323"/>
    </row>
    <row r="2219" spans="1:25" s="1130" customFormat="1" ht="13.2" hidden="1">
      <c r="A2219" s="1319" t="s">
        <v>3361</v>
      </c>
      <c r="B2219" s="1140" t="s">
        <v>15</v>
      </c>
      <c r="C2219" s="1141">
        <v>28</v>
      </c>
      <c r="D2219" s="1142">
        <v>47</v>
      </c>
      <c r="E2219" s="1142">
        <v>76</v>
      </c>
      <c r="F2219" s="1142">
        <v>116</v>
      </c>
      <c r="G2219" s="1142">
        <v>165</v>
      </c>
      <c r="H2219" s="1142">
        <v>180</v>
      </c>
      <c r="I2219" s="1142">
        <v>179</v>
      </c>
      <c r="J2219" s="1142">
        <v>153</v>
      </c>
      <c r="K2219" s="1142">
        <v>96</v>
      </c>
      <c r="L2219" s="1142">
        <v>62</v>
      </c>
      <c r="M2219" s="1142">
        <v>37</v>
      </c>
      <c r="N2219" s="1143">
        <v>23</v>
      </c>
      <c r="O2219" s="1144">
        <v>852</v>
      </c>
      <c r="P2219" s="323"/>
      <c r="Q2219" s="323"/>
      <c r="R2219" s="326"/>
      <c r="S2219" s="326"/>
      <c r="T2219" s="327"/>
      <c r="U2219" s="326"/>
      <c r="V2219" s="328"/>
      <c r="W2219" s="323"/>
      <c r="X2219" s="323"/>
      <c r="Y2219" s="323"/>
    </row>
    <row r="2220" spans="1:25" s="1130" customFormat="1" ht="13.2" hidden="1">
      <c r="A2220" s="1320"/>
      <c r="B2220" s="1140" t="s">
        <v>16</v>
      </c>
      <c r="C2220" s="1141">
        <v>24</v>
      </c>
      <c r="D2220" s="1142">
        <v>41</v>
      </c>
      <c r="E2220" s="1142">
        <v>65</v>
      </c>
      <c r="F2220" s="1142">
        <v>99</v>
      </c>
      <c r="G2220" s="1142">
        <v>142</v>
      </c>
      <c r="H2220" s="1142">
        <v>154</v>
      </c>
      <c r="I2220" s="1142">
        <v>154</v>
      </c>
      <c r="J2220" s="1142">
        <v>127</v>
      </c>
      <c r="K2220" s="1142">
        <v>82</v>
      </c>
      <c r="L2220" s="1142">
        <v>53</v>
      </c>
      <c r="M2220" s="1142">
        <v>32</v>
      </c>
      <c r="N2220" s="1143">
        <v>20</v>
      </c>
      <c r="O2220" s="1144">
        <v>726</v>
      </c>
      <c r="P2220" s="323"/>
      <c r="Q2220" s="323"/>
      <c r="R2220" s="326"/>
      <c r="S2220" s="326"/>
      <c r="T2220" s="327"/>
      <c r="U2220" s="326"/>
      <c r="V2220" s="328"/>
      <c r="W2220" s="323"/>
      <c r="X2220" s="323"/>
      <c r="Y2220" s="323"/>
    </row>
    <row r="2221" spans="1:25" s="1130" customFormat="1" ht="13.2" hidden="1">
      <c r="A2221" s="1320"/>
      <c r="B2221" s="1140" t="s">
        <v>17</v>
      </c>
      <c r="C2221" s="1141">
        <v>22</v>
      </c>
      <c r="D2221" s="1142">
        <v>36</v>
      </c>
      <c r="E2221" s="1142">
        <v>56</v>
      </c>
      <c r="F2221" s="1142">
        <v>85</v>
      </c>
      <c r="G2221" s="1142">
        <v>121</v>
      </c>
      <c r="H2221" s="1142">
        <v>130</v>
      </c>
      <c r="I2221" s="1142">
        <v>130</v>
      </c>
      <c r="J2221" s="1142">
        <v>107</v>
      </c>
      <c r="K2221" s="1142">
        <v>70</v>
      </c>
      <c r="L2221" s="1142">
        <v>46</v>
      </c>
      <c r="M2221" s="1142">
        <v>29</v>
      </c>
      <c r="N2221" s="1143">
        <v>19</v>
      </c>
      <c r="O2221" s="1144">
        <v>622</v>
      </c>
      <c r="P2221" s="323"/>
      <c r="Q2221" s="323"/>
      <c r="R2221" s="326"/>
      <c r="S2221" s="326"/>
      <c r="T2221" s="327"/>
      <c r="U2221" s="326"/>
      <c r="V2221" s="328"/>
      <c r="W2221" s="323"/>
      <c r="X2221" s="323"/>
      <c r="Y2221" s="323"/>
    </row>
    <row r="2222" spans="1:25" s="1130" customFormat="1" ht="13.2" hidden="1">
      <c r="A2222" s="1321"/>
      <c r="B2222" s="1137" t="s">
        <v>18</v>
      </c>
      <c r="C2222" s="1134">
        <v>17</v>
      </c>
      <c r="D2222" s="1135">
        <v>27</v>
      </c>
      <c r="E2222" s="1135">
        <v>42</v>
      </c>
      <c r="F2222" s="1135">
        <v>62</v>
      </c>
      <c r="G2222" s="1135">
        <v>86</v>
      </c>
      <c r="H2222" s="1135">
        <v>93</v>
      </c>
      <c r="I2222" s="1135">
        <v>93</v>
      </c>
      <c r="J2222" s="1135">
        <v>79</v>
      </c>
      <c r="K2222" s="1135">
        <v>52</v>
      </c>
      <c r="L2222" s="1135">
        <v>35</v>
      </c>
      <c r="M2222" s="1135">
        <v>23</v>
      </c>
      <c r="N2222" s="1136">
        <v>15</v>
      </c>
      <c r="O2222" s="1145">
        <v>458</v>
      </c>
      <c r="P2222" s="323"/>
      <c r="Q2222" s="323"/>
      <c r="R2222" s="326"/>
      <c r="S2222" s="326"/>
      <c r="T2222" s="327"/>
      <c r="U2222" s="326"/>
      <c r="V2222" s="328"/>
      <c r="W2222" s="323"/>
      <c r="X2222" s="323"/>
      <c r="Y2222" s="323"/>
    </row>
    <row r="2223" spans="1:25" s="1130" customFormat="1" ht="13.2" hidden="1">
      <c r="A2223" s="1319" t="s">
        <v>3362</v>
      </c>
      <c r="B2223" s="1140" t="s">
        <v>15</v>
      </c>
      <c r="C2223" s="1141">
        <v>30</v>
      </c>
      <c r="D2223" s="1142">
        <v>53</v>
      </c>
      <c r="E2223" s="1142">
        <v>86</v>
      </c>
      <c r="F2223" s="1142">
        <v>128</v>
      </c>
      <c r="G2223" s="1142">
        <v>180</v>
      </c>
      <c r="H2223" s="1142">
        <v>201</v>
      </c>
      <c r="I2223" s="1142">
        <v>195</v>
      </c>
      <c r="J2223" s="1142">
        <v>181</v>
      </c>
      <c r="K2223" s="1142">
        <v>108</v>
      </c>
      <c r="L2223" s="1142">
        <v>68</v>
      </c>
      <c r="M2223" s="1142">
        <v>42</v>
      </c>
      <c r="N2223" s="1143">
        <v>25</v>
      </c>
      <c r="O2223" s="1144">
        <v>950</v>
      </c>
      <c r="P2223" s="323"/>
      <c r="Q2223" s="323"/>
      <c r="R2223" s="326"/>
      <c r="S2223" s="326"/>
      <c r="T2223" s="327"/>
      <c r="U2223" s="326"/>
      <c r="V2223" s="328"/>
      <c r="W2223" s="323"/>
      <c r="X2223" s="323"/>
      <c r="Y2223" s="323"/>
    </row>
    <row r="2224" spans="1:25" s="1130" customFormat="1" ht="13.2" hidden="1">
      <c r="A2224" s="1320"/>
      <c r="B2224" s="1140" t="s">
        <v>16</v>
      </c>
      <c r="C2224" s="1141">
        <v>26</v>
      </c>
      <c r="D2224" s="1142">
        <v>46</v>
      </c>
      <c r="E2224" s="1142">
        <v>75</v>
      </c>
      <c r="F2224" s="1142">
        <v>113</v>
      </c>
      <c r="G2224" s="1142">
        <v>161</v>
      </c>
      <c r="H2224" s="1142">
        <v>182</v>
      </c>
      <c r="I2224" s="1142">
        <v>175</v>
      </c>
      <c r="J2224" s="1142">
        <v>162</v>
      </c>
      <c r="K2224" s="1142">
        <v>95</v>
      </c>
      <c r="L2224" s="1142">
        <v>58</v>
      </c>
      <c r="M2224" s="1142">
        <v>36</v>
      </c>
      <c r="N2224" s="1143">
        <v>22</v>
      </c>
      <c r="O2224" s="1144">
        <v>843</v>
      </c>
      <c r="P2224" s="323"/>
      <c r="Q2224" s="323"/>
      <c r="R2224" s="326"/>
      <c r="S2224" s="326"/>
      <c r="T2224" s="327"/>
      <c r="U2224" s="326"/>
      <c r="V2224" s="328"/>
      <c r="W2224" s="323"/>
      <c r="X2224" s="323"/>
      <c r="Y2224" s="323"/>
    </row>
    <row r="2225" spans="1:25" s="1130" customFormat="1" ht="13.2" hidden="1">
      <c r="A2225" s="1320"/>
      <c r="B2225" s="1140" t="s">
        <v>17</v>
      </c>
      <c r="C2225" s="1141">
        <v>24</v>
      </c>
      <c r="D2225" s="1142">
        <v>41</v>
      </c>
      <c r="E2225" s="1142">
        <v>66</v>
      </c>
      <c r="F2225" s="1142">
        <v>99</v>
      </c>
      <c r="G2225" s="1142">
        <v>140</v>
      </c>
      <c r="H2225" s="1142">
        <v>160</v>
      </c>
      <c r="I2225" s="1142">
        <v>152</v>
      </c>
      <c r="J2225" s="1142">
        <v>143</v>
      </c>
      <c r="K2225" s="1142">
        <v>82</v>
      </c>
      <c r="L2225" s="1142">
        <v>51</v>
      </c>
      <c r="M2225" s="1142">
        <v>32</v>
      </c>
      <c r="N2225" s="1143">
        <v>20</v>
      </c>
      <c r="O2225" s="1144">
        <v>740</v>
      </c>
      <c r="P2225" s="323"/>
      <c r="Q2225" s="323"/>
      <c r="R2225" s="326"/>
      <c r="S2225" s="326"/>
      <c r="T2225" s="327"/>
      <c r="U2225" s="326"/>
      <c r="V2225" s="328"/>
      <c r="W2225" s="323"/>
      <c r="X2225" s="323"/>
      <c r="Y2225" s="323"/>
    </row>
    <row r="2226" spans="1:25" s="1130" customFormat="1" ht="13.2" hidden="1">
      <c r="A2226" s="1321"/>
      <c r="B2226" s="1137" t="s">
        <v>18</v>
      </c>
      <c r="C2226" s="1134">
        <v>19</v>
      </c>
      <c r="D2226" s="1135">
        <v>31</v>
      </c>
      <c r="E2226" s="1135">
        <v>49</v>
      </c>
      <c r="F2226" s="1135">
        <v>73</v>
      </c>
      <c r="G2226" s="1135">
        <v>102</v>
      </c>
      <c r="H2226" s="1135">
        <v>118</v>
      </c>
      <c r="I2226" s="1135">
        <v>110</v>
      </c>
      <c r="J2226" s="1135">
        <v>107</v>
      </c>
      <c r="K2226" s="1135">
        <v>61</v>
      </c>
      <c r="L2226" s="1135">
        <v>39</v>
      </c>
      <c r="M2226" s="1135">
        <v>26</v>
      </c>
      <c r="N2226" s="1136">
        <v>16</v>
      </c>
      <c r="O2226" s="1145">
        <v>551</v>
      </c>
      <c r="P2226" s="323"/>
      <c r="Q2226" s="323"/>
      <c r="R2226" s="326"/>
      <c r="S2226" s="326"/>
      <c r="T2226" s="327"/>
      <c r="U2226" s="326"/>
      <c r="V2226" s="328"/>
      <c r="W2226" s="323"/>
      <c r="X2226" s="323"/>
      <c r="Y2226" s="323"/>
    </row>
    <row r="2227" spans="1:25" s="1130" customFormat="1" ht="13.2" hidden="1">
      <c r="A2227" s="1319" t="s">
        <v>12</v>
      </c>
      <c r="B2227" s="1140" t="s">
        <v>15</v>
      </c>
      <c r="C2227" s="1141">
        <v>26</v>
      </c>
      <c r="D2227" s="1142">
        <v>43</v>
      </c>
      <c r="E2227" s="1142">
        <v>71</v>
      </c>
      <c r="F2227" s="1142">
        <v>115</v>
      </c>
      <c r="G2227" s="1142">
        <v>167</v>
      </c>
      <c r="H2227" s="1142">
        <v>186</v>
      </c>
      <c r="I2227" s="1142">
        <v>182</v>
      </c>
      <c r="J2227" s="1142">
        <v>157</v>
      </c>
      <c r="K2227" s="1142">
        <v>94</v>
      </c>
      <c r="L2227" s="1142">
        <v>55</v>
      </c>
      <c r="M2227" s="1142">
        <v>33</v>
      </c>
      <c r="N2227" s="1143">
        <v>21</v>
      </c>
      <c r="O2227" s="1144">
        <v>842</v>
      </c>
      <c r="P2227" s="323"/>
      <c r="Q2227" s="323"/>
      <c r="R2227" s="326"/>
      <c r="S2227" s="326"/>
      <c r="T2227" s="327"/>
      <c r="U2227" s="326"/>
      <c r="V2227" s="328"/>
      <c r="W2227" s="323"/>
      <c r="X2227" s="323"/>
      <c r="Y2227" s="323"/>
    </row>
    <row r="2228" spans="1:25" s="1130" customFormat="1" ht="13.2" hidden="1">
      <c r="A2228" s="1320"/>
      <c r="B2228" s="1140" t="s">
        <v>16</v>
      </c>
      <c r="C2228" s="1141">
        <v>23</v>
      </c>
      <c r="D2228" s="1142">
        <v>39</v>
      </c>
      <c r="E2228" s="1142">
        <v>58</v>
      </c>
      <c r="F2228" s="1142">
        <v>93</v>
      </c>
      <c r="G2228" s="1142">
        <v>141</v>
      </c>
      <c r="H2228" s="1142">
        <v>160</v>
      </c>
      <c r="I2228" s="1142">
        <v>154</v>
      </c>
      <c r="J2228" s="1142">
        <v>126</v>
      </c>
      <c r="K2228" s="1142">
        <v>74</v>
      </c>
      <c r="L2228" s="1142">
        <v>47</v>
      </c>
      <c r="M2228" s="1142">
        <v>30</v>
      </c>
      <c r="N2228" s="1143">
        <v>20</v>
      </c>
      <c r="O2228" s="1144">
        <v>706</v>
      </c>
      <c r="P2228" s="323"/>
      <c r="Q2228" s="323"/>
      <c r="R2228" s="326"/>
      <c r="S2228" s="326"/>
      <c r="T2228" s="327"/>
      <c r="U2228" s="326"/>
      <c r="V2228" s="328"/>
      <c r="W2228" s="323"/>
      <c r="X2228" s="323"/>
      <c r="Y2228" s="323"/>
    </row>
    <row r="2229" spans="1:25" s="1130" customFormat="1" ht="13.2" hidden="1">
      <c r="A2229" s="1320"/>
      <c r="B2229" s="1140" t="s">
        <v>17</v>
      </c>
      <c r="C2229" s="1141">
        <v>21</v>
      </c>
      <c r="D2229" s="1142">
        <v>34</v>
      </c>
      <c r="E2229" s="1142">
        <v>52</v>
      </c>
      <c r="F2229" s="1142">
        <v>76</v>
      </c>
      <c r="G2229" s="1142">
        <v>112</v>
      </c>
      <c r="H2229" s="1142">
        <v>129</v>
      </c>
      <c r="I2229" s="1142">
        <v>124</v>
      </c>
      <c r="J2229" s="1142">
        <v>95</v>
      </c>
      <c r="K2229" s="1142">
        <v>64</v>
      </c>
      <c r="L2229" s="1142">
        <v>42</v>
      </c>
      <c r="M2229" s="1142">
        <v>27</v>
      </c>
      <c r="N2229" s="1143">
        <v>18</v>
      </c>
      <c r="O2229" s="1144">
        <v>582</v>
      </c>
      <c r="P2229" s="323"/>
      <c r="Q2229" s="323"/>
      <c r="R2229" s="326"/>
      <c r="S2229" s="326"/>
      <c r="T2229" s="327"/>
      <c r="U2229" s="326"/>
      <c r="V2229" s="328"/>
      <c r="W2229" s="323"/>
      <c r="X2229" s="323"/>
      <c r="Y2229" s="323"/>
    </row>
    <row r="2230" spans="1:25" s="1130" customFormat="1" ht="13.2" hidden="1">
      <c r="A2230" s="1321"/>
      <c r="B2230" s="1137" t="s">
        <v>18</v>
      </c>
      <c r="C2230" s="1134">
        <v>17</v>
      </c>
      <c r="D2230" s="1135">
        <v>27</v>
      </c>
      <c r="E2230" s="1135">
        <v>40</v>
      </c>
      <c r="F2230" s="1135">
        <v>57</v>
      </c>
      <c r="G2230" s="1135">
        <v>80</v>
      </c>
      <c r="H2230" s="1135">
        <v>88</v>
      </c>
      <c r="I2230" s="1135">
        <v>86</v>
      </c>
      <c r="J2230" s="1135">
        <v>73</v>
      </c>
      <c r="K2230" s="1135">
        <v>49</v>
      </c>
      <c r="L2230" s="1135">
        <v>33</v>
      </c>
      <c r="M2230" s="1135">
        <v>23</v>
      </c>
      <c r="N2230" s="1136">
        <v>15</v>
      </c>
      <c r="O2230" s="1145">
        <v>430</v>
      </c>
      <c r="P2230" s="323"/>
      <c r="Q2230" s="323"/>
      <c r="R2230" s="326"/>
      <c r="S2230" s="326"/>
      <c r="T2230" s="327"/>
      <c r="U2230" s="326"/>
      <c r="V2230" s="328"/>
      <c r="W2230" s="323"/>
      <c r="X2230" s="323"/>
      <c r="Y2230" s="323"/>
    </row>
    <row r="2231" spans="1:25" s="1130" customFormat="1" ht="39.6" hidden="1">
      <c r="A2231" s="1146"/>
      <c r="B2231" s="1147"/>
      <c r="C2231" s="1375" t="s">
        <v>3363</v>
      </c>
      <c r="D2231" s="1376"/>
      <c r="E2231" s="1376"/>
      <c r="F2231" s="1376"/>
      <c r="G2231" s="1376"/>
      <c r="H2231" s="1376"/>
      <c r="I2231" s="1376"/>
      <c r="J2231" s="1376"/>
      <c r="K2231" s="1376"/>
      <c r="L2231" s="1376"/>
      <c r="M2231" s="1376"/>
      <c r="N2231" s="1377"/>
      <c r="O2231" s="1131" t="s">
        <v>3364</v>
      </c>
      <c r="P2231" s="323"/>
      <c r="Q2231" s="323"/>
      <c r="R2231" s="326"/>
      <c r="S2231" s="326"/>
      <c r="T2231" s="327"/>
      <c r="U2231" s="326"/>
      <c r="V2231" s="328"/>
      <c r="W2231" s="323"/>
      <c r="X2231" s="323"/>
      <c r="Y2231" s="323"/>
    </row>
    <row r="2232" spans="1:25" s="1130" customFormat="1" ht="12.75" hidden="1" customHeight="1">
      <c r="A2232" s="1148" t="s">
        <v>1894</v>
      </c>
      <c r="B2232" s="1149"/>
      <c r="C2232" s="1150">
        <v>-2.2999999999999998</v>
      </c>
      <c r="D2232" s="1151">
        <v>-0.5</v>
      </c>
      <c r="E2232" s="1151">
        <v>3.2</v>
      </c>
      <c r="F2232" s="1151">
        <v>7</v>
      </c>
      <c r="G2232" s="1151">
        <v>11.8</v>
      </c>
      <c r="H2232" s="1151">
        <v>14.8</v>
      </c>
      <c r="I2232" s="1151">
        <v>16.600000000000001</v>
      </c>
      <c r="J2232" s="1151">
        <v>16.399999999999999</v>
      </c>
      <c r="K2232" s="1151">
        <v>12.3</v>
      </c>
      <c r="L2232" s="1151">
        <v>8.4</v>
      </c>
      <c r="M2232" s="1151">
        <v>1.9</v>
      </c>
      <c r="N2232" s="1152">
        <v>-1.8</v>
      </c>
      <c r="O2232" s="1153">
        <v>7.4</v>
      </c>
      <c r="P2232" s="323"/>
      <c r="Q2232" s="323"/>
      <c r="R2232" s="326"/>
      <c r="S2232" s="326"/>
      <c r="T2232" s="327"/>
      <c r="U2232" s="326"/>
      <c r="V2232" s="328"/>
      <c r="W2232" s="323"/>
      <c r="X2232" s="323"/>
      <c r="Y2232" s="323"/>
    </row>
    <row r="2233" spans="1:25" ht="13.2" hidden="1">
      <c r="A2233" s="181"/>
      <c r="B2233" s="18"/>
      <c r="C2233" s="18"/>
      <c r="D2233" s="512"/>
      <c r="E2233" s="18"/>
      <c r="F2233" s="18"/>
      <c r="G2233" s="134"/>
      <c r="H2233" s="18"/>
      <c r="I2233" s="18"/>
      <c r="J2233" s="1"/>
      <c r="K2233" s="122"/>
      <c r="L2233" s="122"/>
      <c r="M2233" s="122"/>
      <c r="N2233" s="122"/>
    </row>
    <row r="2234" spans="1:25" ht="13.2">
      <c r="A2234" s="181"/>
      <c r="B2234" s="18"/>
      <c r="C2234" s="18"/>
      <c r="D2234" s="512"/>
      <c r="E2234" s="18"/>
      <c r="F2234" s="18"/>
      <c r="G2234" s="134"/>
      <c r="H2234" s="18"/>
      <c r="I2234" s="18"/>
      <c r="J2234" s="1"/>
      <c r="K2234" s="122"/>
      <c r="L2234" s="122"/>
      <c r="M2234" s="122"/>
      <c r="N2234" s="122"/>
    </row>
    <row r="2235" spans="1:25" ht="13.8">
      <c r="A2235" s="65" t="s">
        <v>2300</v>
      </c>
      <c r="B2235" s="66"/>
      <c r="C2235" s="66"/>
      <c r="D2235" s="66"/>
      <c r="E2235" s="66"/>
      <c r="F2235" s="66"/>
      <c r="G2235" s="165"/>
      <c r="H2235" s="66"/>
      <c r="I2235" s="66"/>
      <c r="J2235" s="1"/>
      <c r="K2235" s="122">
        <f>ROW(A2236)</f>
        <v>2236</v>
      </c>
      <c r="L2235" s="122">
        <f>ROW(A2257)</f>
        <v>2257</v>
      </c>
      <c r="M2235" s="122"/>
      <c r="N2235" s="122"/>
    </row>
    <row r="2236" spans="1:25" ht="12" hidden="1" customHeight="1">
      <c r="A2236" s="182" t="s">
        <v>2229</v>
      </c>
      <c r="B2236" s="182"/>
      <c r="C2236" s="182"/>
      <c r="D2236" s="182"/>
      <c r="E2236" s="182"/>
      <c r="F2236" s="182"/>
      <c r="G2236" s="182"/>
      <c r="H2236" s="182"/>
      <c r="I2236" s="182"/>
    </row>
    <row r="2237" spans="1:25" ht="12" hidden="1" customHeight="1">
      <c r="A2237" s="443" t="s">
        <v>2232</v>
      </c>
      <c r="B2237" s="1312" t="s">
        <v>2233</v>
      </c>
      <c r="C2237" s="1313"/>
      <c r="D2237" s="1309" t="s">
        <v>2230</v>
      </c>
      <c r="E2237" s="1310"/>
      <c r="F2237" s="1310"/>
      <c r="G2237" s="1310"/>
      <c r="H2237" s="1310"/>
      <c r="I2237" s="1311"/>
    </row>
    <row r="2238" spans="1:25" ht="12" hidden="1" customHeight="1">
      <c r="A2238" s="444"/>
      <c r="B2238" s="444"/>
      <c r="C2238" s="446"/>
      <c r="D2238" s="1309" t="s">
        <v>2231</v>
      </c>
      <c r="E2238" s="1310"/>
      <c r="F2238" s="1311"/>
      <c r="G2238" s="445"/>
      <c r="H2238" s="445"/>
      <c r="I2238" s="446"/>
    </row>
    <row r="2239" spans="1:25" ht="36.6" hidden="1" customHeight="1">
      <c r="A2239" s="449" t="s">
        <v>2234</v>
      </c>
      <c r="B2239" s="1279" t="s">
        <v>2283</v>
      </c>
      <c r="C2239" s="1280"/>
      <c r="D2239" s="1280"/>
      <c r="E2239" s="1280"/>
      <c r="F2239" s="1280"/>
      <c r="G2239" s="1280"/>
      <c r="H2239" s="1280"/>
      <c r="I2239" s="1281"/>
    </row>
    <row r="2240" spans="1:25" ht="49.2" hidden="1" customHeight="1">
      <c r="A2240" s="449" t="s">
        <v>2235</v>
      </c>
      <c r="B2240" s="1307" t="s">
        <v>2239</v>
      </c>
      <c r="C2240" s="1307"/>
      <c r="D2240" s="1276" t="s">
        <v>813</v>
      </c>
      <c r="E2240" s="1277"/>
      <c r="F2240" s="1278"/>
      <c r="G2240" s="1276" t="s">
        <v>2259</v>
      </c>
      <c r="H2240" s="1277"/>
      <c r="I2240" s="1278"/>
    </row>
    <row r="2241" spans="1:9" ht="48.6" hidden="1" customHeight="1">
      <c r="A2241" s="449" t="s">
        <v>2236</v>
      </c>
      <c r="B2241" s="1274" t="s">
        <v>2240</v>
      </c>
      <c r="C2241" s="1274"/>
      <c r="D2241" s="1276" t="s">
        <v>813</v>
      </c>
      <c r="E2241" s="1277"/>
      <c r="F2241" s="1278"/>
      <c r="G2241" s="1276" t="s">
        <v>2260</v>
      </c>
      <c r="H2241" s="1277"/>
      <c r="I2241" s="1278"/>
    </row>
    <row r="2242" spans="1:9" ht="24" hidden="1" customHeight="1">
      <c r="A2242" s="449" t="s">
        <v>2237</v>
      </c>
      <c r="B2242" s="1274" t="s">
        <v>2241</v>
      </c>
      <c r="C2242" s="1274"/>
      <c r="D2242" s="1276" t="s">
        <v>813</v>
      </c>
      <c r="E2242" s="1277"/>
      <c r="F2242" s="1278"/>
      <c r="G2242" s="1276" t="s">
        <v>2261</v>
      </c>
      <c r="H2242" s="1277"/>
      <c r="I2242" s="1278"/>
    </row>
    <row r="2243" spans="1:9" ht="15" hidden="1">
      <c r="A2243" s="447" t="s">
        <v>2238</v>
      </c>
      <c r="B2243" s="1295" t="s">
        <v>2242</v>
      </c>
      <c r="C2243" s="1295"/>
      <c r="D2243" s="1292" t="s">
        <v>813</v>
      </c>
      <c r="E2243" s="1293"/>
      <c r="F2243" s="1294"/>
      <c r="G2243" s="1292" t="s">
        <v>2265</v>
      </c>
      <c r="H2243" s="1293"/>
      <c r="I2243" s="1294"/>
    </row>
    <row r="2244" spans="1:9" ht="25.2" hidden="1" customHeight="1">
      <c r="A2244" s="448"/>
      <c r="B2244" s="1296"/>
      <c r="C2244" s="1297"/>
      <c r="D2244" s="1298" t="s">
        <v>2262</v>
      </c>
      <c r="E2244" s="1299"/>
      <c r="F2244" s="1300"/>
      <c r="G2244" s="444" t="s">
        <v>2263</v>
      </c>
      <c r="H2244" s="445"/>
      <c r="I2244" s="446"/>
    </row>
    <row r="2245" spans="1:9" ht="15" hidden="1">
      <c r="A2245" s="447" t="s">
        <v>2243</v>
      </c>
      <c r="B2245" s="451" t="s">
        <v>2246</v>
      </c>
      <c r="C2245" s="451"/>
      <c r="D2245" s="1292" t="s">
        <v>813</v>
      </c>
      <c r="E2245" s="1293"/>
      <c r="F2245" s="1294"/>
      <c r="G2245" s="1292" t="s">
        <v>2264</v>
      </c>
      <c r="H2245" s="1293"/>
      <c r="I2245" s="1294"/>
    </row>
    <row r="2246" spans="1:9" ht="25.2" hidden="1" customHeight="1">
      <c r="A2246" s="448"/>
      <c r="B2246" s="1296"/>
      <c r="C2246" s="1297"/>
      <c r="D2246" s="1298" t="s">
        <v>2262</v>
      </c>
      <c r="E2246" s="1299"/>
      <c r="F2246" s="1300"/>
      <c r="G2246" s="444" t="s">
        <v>2263</v>
      </c>
      <c r="H2246" s="445"/>
      <c r="I2246" s="446"/>
    </row>
    <row r="2247" spans="1:9" ht="15" hidden="1">
      <c r="A2247" s="447" t="s">
        <v>2244</v>
      </c>
      <c r="B2247" s="1292" t="s">
        <v>2247</v>
      </c>
      <c r="C2247" s="1294"/>
      <c r="D2247" s="1292" t="s">
        <v>813</v>
      </c>
      <c r="E2247" s="1293"/>
      <c r="F2247" s="1294"/>
      <c r="G2247" s="1292" t="s">
        <v>2267</v>
      </c>
      <c r="H2247" s="1293"/>
      <c r="I2247" s="1294"/>
    </row>
    <row r="2248" spans="1:9" ht="25.2" hidden="1" customHeight="1">
      <c r="A2248" s="448"/>
      <c r="B2248" s="1296"/>
      <c r="C2248" s="1297"/>
      <c r="D2248" s="1298" t="s">
        <v>2262</v>
      </c>
      <c r="E2248" s="1299"/>
      <c r="F2248" s="1300"/>
      <c r="G2248" s="444" t="s">
        <v>2268</v>
      </c>
      <c r="H2248" s="445"/>
      <c r="I2248" s="446"/>
    </row>
    <row r="2249" spans="1:9" hidden="1">
      <c r="A2249" s="449" t="s">
        <v>2245</v>
      </c>
      <c r="B2249" s="1276" t="s">
        <v>2248</v>
      </c>
      <c r="C2249" s="1278"/>
      <c r="D2249" s="1276" t="s">
        <v>813</v>
      </c>
      <c r="E2249" s="1277"/>
      <c r="F2249" s="1278"/>
      <c r="G2249" s="1276" t="s">
        <v>2266</v>
      </c>
      <c r="H2249" s="1277"/>
      <c r="I2249" s="1278"/>
    </row>
    <row r="2250" spans="1:9" ht="15" hidden="1">
      <c r="A2250" s="449">
        <v>2</v>
      </c>
      <c r="B2250" s="1274" t="s">
        <v>2249</v>
      </c>
      <c r="C2250" s="1274"/>
      <c r="D2250" s="1276" t="s">
        <v>988</v>
      </c>
      <c r="E2250" s="1277"/>
      <c r="F2250" s="1278"/>
      <c r="G2250" s="1276" t="s">
        <v>2286</v>
      </c>
      <c r="H2250" s="1277"/>
      <c r="I2250" s="1278"/>
    </row>
    <row r="2251" spans="1:9" ht="59.4" hidden="1" customHeight="1">
      <c r="A2251" s="449">
        <v>3</v>
      </c>
      <c r="B2251" s="1274" t="s">
        <v>2250</v>
      </c>
      <c r="C2251" s="1274"/>
      <c r="D2251" s="1276" t="s">
        <v>2270</v>
      </c>
      <c r="E2251" s="1277"/>
      <c r="F2251" s="1278"/>
      <c r="G2251" s="1279" t="s">
        <v>2258</v>
      </c>
      <c r="H2251" s="1277"/>
      <c r="I2251" s="1278"/>
    </row>
    <row r="2252" spans="1:9" ht="25.95" hidden="1" customHeight="1">
      <c r="A2252" s="449">
        <v>4</v>
      </c>
      <c r="B2252" s="1282" t="s">
        <v>2251</v>
      </c>
      <c r="C2252" s="1282"/>
      <c r="D2252" s="1279" t="s">
        <v>2257</v>
      </c>
      <c r="E2252" s="1280"/>
      <c r="F2252" s="1280"/>
      <c r="G2252" s="1280"/>
      <c r="H2252" s="1280"/>
      <c r="I2252" s="1281"/>
    </row>
    <row r="2253" spans="1:9" ht="128.4" hidden="1" customHeight="1">
      <c r="A2253" s="449">
        <v>5</v>
      </c>
      <c r="B2253" s="1282" t="s">
        <v>2252</v>
      </c>
      <c r="C2253" s="1282"/>
      <c r="D2253" s="1279" t="s">
        <v>2271</v>
      </c>
      <c r="E2253" s="1280"/>
      <c r="F2253" s="1280"/>
      <c r="G2253" s="1280"/>
      <c r="H2253" s="1280"/>
      <c r="I2253" s="1281"/>
    </row>
    <row r="2254" spans="1:9" ht="152.4" hidden="1" customHeight="1">
      <c r="A2254" s="449">
        <v>6</v>
      </c>
      <c r="B2254" s="1274" t="s">
        <v>2253</v>
      </c>
      <c r="C2254" s="1274"/>
      <c r="D2254" s="1279" t="s">
        <v>2272</v>
      </c>
      <c r="E2254" s="1280"/>
      <c r="F2254" s="1280"/>
      <c r="G2254" s="1280"/>
      <c r="H2254" s="1280"/>
      <c r="I2254" s="1281"/>
    </row>
    <row r="2255" spans="1:9" hidden="1">
      <c r="A2255" s="449">
        <v>7</v>
      </c>
      <c r="B2255" s="1282" t="s">
        <v>2254</v>
      </c>
      <c r="C2255" s="1282"/>
      <c r="D2255" s="1279" t="s">
        <v>2256</v>
      </c>
      <c r="E2255" s="1280"/>
      <c r="F2255" s="1280"/>
      <c r="G2255" s="1280"/>
      <c r="H2255" s="1280"/>
      <c r="I2255" s="1281"/>
    </row>
    <row r="2256" spans="1:9" hidden="1">
      <c r="A2256" s="449">
        <v>8</v>
      </c>
      <c r="B2256" s="1282" t="s">
        <v>300</v>
      </c>
      <c r="C2256" s="1282"/>
      <c r="D2256" s="1279" t="s">
        <v>2255</v>
      </c>
      <c r="E2256" s="1280"/>
      <c r="F2256" s="1280"/>
      <c r="G2256" s="1280"/>
      <c r="H2256" s="1280"/>
      <c r="I2256" s="1281"/>
    </row>
    <row r="2257" spans="1:14" ht="12" hidden="1" customHeight="1">
      <c r="A2257" s="213" t="s">
        <v>2269</v>
      </c>
      <c r="E2257" s="213"/>
    </row>
    <row r="2258" spans="1:14" ht="12" customHeight="1">
      <c r="E2258" s="213"/>
    </row>
    <row r="2259" spans="1:14" ht="13.8">
      <c r="A2259" s="65" t="s">
        <v>2312</v>
      </c>
      <c r="B2259" s="66"/>
      <c r="C2259" s="66"/>
      <c r="D2259" s="66"/>
      <c r="E2259" s="66"/>
      <c r="F2259" s="66"/>
      <c r="G2259" s="165"/>
      <c r="H2259" s="66"/>
      <c r="I2259" s="66"/>
      <c r="J2259" s="1"/>
      <c r="K2259" s="122">
        <f>ROW(A2260)</f>
        <v>2260</v>
      </c>
      <c r="L2259" s="122">
        <f>ROW(A2267)</f>
        <v>2267</v>
      </c>
      <c r="M2259" s="122"/>
      <c r="N2259" s="122"/>
    </row>
    <row r="2260" spans="1:14" hidden="1">
      <c r="A2260" s="213" t="s">
        <v>2335</v>
      </c>
      <c r="E2260" s="213"/>
    </row>
    <row r="2261" spans="1:14" hidden="1">
      <c r="A2261" s="471" t="s">
        <v>2232</v>
      </c>
      <c r="B2261" s="493" t="s">
        <v>930</v>
      </c>
      <c r="C2261" s="493"/>
      <c r="D2261" s="472"/>
      <c r="E2261" s="472"/>
      <c r="F2261" s="455"/>
      <c r="G2261" s="472"/>
      <c r="H2261" s="472"/>
      <c r="I2261" s="494" t="s">
        <v>2317</v>
      </c>
    </row>
    <row r="2262" spans="1:14" ht="15" hidden="1">
      <c r="A2262" s="495">
        <v>1</v>
      </c>
      <c r="B2262" s="474" t="s">
        <v>2314</v>
      </c>
      <c r="C2262" s="474"/>
      <c r="D2262" s="474" t="s">
        <v>2315</v>
      </c>
      <c r="E2262" s="474"/>
      <c r="F2262" s="263"/>
      <c r="G2262" s="261"/>
      <c r="H2262" s="474" t="s">
        <v>2318</v>
      </c>
      <c r="I2262" s="475"/>
    </row>
    <row r="2263" spans="1:14" ht="15" hidden="1">
      <c r="A2263" s="219"/>
      <c r="B2263" s="445"/>
      <c r="C2263" s="445"/>
      <c r="D2263" s="445" t="s">
        <v>2316</v>
      </c>
      <c r="E2263" s="445"/>
      <c r="F2263" s="445"/>
      <c r="G2263" s="224"/>
      <c r="H2263" s="445" t="s">
        <v>2322</v>
      </c>
      <c r="I2263" s="446"/>
    </row>
    <row r="2264" spans="1:14" ht="15" hidden="1">
      <c r="A2264" s="452">
        <v>2</v>
      </c>
      <c r="B2264" s="472" t="s">
        <v>2319</v>
      </c>
      <c r="C2264" s="472"/>
      <c r="D2264" s="497"/>
      <c r="E2264" s="472"/>
      <c r="F2264" s="472"/>
      <c r="G2264" s="454"/>
      <c r="H2264" s="472" t="s">
        <v>2323</v>
      </c>
      <c r="I2264" s="473"/>
    </row>
    <row r="2265" spans="1:14" ht="15" hidden="1">
      <c r="A2265" s="452">
        <v>3</v>
      </c>
      <c r="B2265" s="472" t="s">
        <v>2320</v>
      </c>
      <c r="C2265" s="472"/>
      <c r="D2265" s="497"/>
      <c r="E2265" s="472"/>
      <c r="F2265" s="472"/>
      <c r="G2265" s="454"/>
      <c r="H2265" s="472" t="s">
        <v>2324</v>
      </c>
      <c r="I2265" s="473"/>
    </row>
    <row r="2266" spans="1:14" ht="15" hidden="1">
      <c r="A2266" s="496">
        <v>4</v>
      </c>
      <c r="B2266" s="445" t="s">
        <v>2321</v>
      </c>
      <c r="C2266" s="445"/>
      <c r="D2266" s="492"/>
      <c r="E2266" s="445"/>
      <c r="F2266" s="445"/>
      <c r="G2266" s="224"/>
      <c r="H2266" s="445" t="s">
        <v>2324</v>
      </c>
      <c r="I2266" s="446"/>
    </row>
    <row r="2267" spans="1:14" ht="38.4" hidden="1" customHeight="1">
      <c r="A2267" s="1272" t="s">
        <v>2325</v>
      </c>
      <c r="B2267" s="1273"/>
      <c r="C2267" s="1273"/>
      <c r="D2267" s="1273"/>
      <c r="E2267" s="1273"/>
      <c r="F2267" s="1273"/>
      <c r="G2267" s="1273"/>
      <c r="H2267" s="1273"/>
      <c r="I2267" s="1273"/>
    </row>
    <row r="2268" spans="1:14">
      <c r="E2268" s="213"/>
    </row>
    <row r="2269" spans="1:14" ht="13.8">
      <c r="A2269" s="65" t="s">
        <v>2301</v>
      </c>
      <c r="B2269" s="66"/>
      <c r="C2269" s="66"/>
      <c r="D2269" s="66"/>
      <c r="E2269" s="66"/>
      <c r="F2269" s="66"/>
      <c r="G2269" s="165"/>
      <c r="H2269" s="66"/>
      <c r="I2269" s="66"/>
      <c r="J2269" s="1"/>
      <c r="K2269" s="122">
        <f>ROW(A2270)</f>
        <v>2270</v>
      </c>
      <c r="L2269" s="122">
        <f>ROW(A2275)</f>
        <v>2275</v>
      </c>
      <c r="M2269" s="122"/>
      <c r="N2269" s="122"/>
    </row>
    <row r="2270" spans="1:14" ht="12" hidden="1" customHeight="1">
      <c r="A2270" s="213" t="s">
        <v>2273</v>
      </c>
      <c r="E2270" s="213"/>
    </row>
    <row r="2271" spans="1:14" ht="12" hidden="1" customHeight="1">
      <c r="A2271" s="450" t="s">
        <v>2232</v>
      </c>
      <c r="B2271" s="1290" t="s">
        <v>2274</v>
      </c>
      <c r="C2271" s="1291"/>
      <c r="D2271" s="1276" t="s">
        <v>1808</v>
      </c>
      <c r="E2271" s="1277"/>
      <c r="F2271" s="1277"/>
      <c r="G2271" s="1277"/>
      <c r="H2271" s="1277"/>
      <c r="I2271" s="1278"/>
    </row>
    <row r="2272" spans="1:14" ht="30.6" hidden="1" customHeight="1">
      <c r="A2272" s="452">
        <v>1</v>
      </c>
      <c r="B2272" s="1274" t="s">
        <v>2275</v>
      </c>
      <c r="C2272" s="1274"/>
      <c r="D2272" s="1274" t="s">
        <v>2279</v>
      </c>
      <c r="E2272" s="1274"/>
      <c r="F2272" s="1274"/>
      <c r="G2272" s="1274"/>
      <c r="H2272" s="1274"/>
      <c r="I2272" s="1274"/>
    </row>
    <row r="2273" spans="1:14" ht="36" hidden="1" customHeight="1">
      <c r="A2273" s="452">
        <v>2</v>
      </c>
      <c r="B2273" s="1274" t="s">
        <v>2276</v>
      </c>
      <c r="C2273" s="1274"/>
      <c r="D2273" s="1289" t="s">
        <v>2280</v>
      </c>
      <c r="E2273" s="1274"/>
      <c r="F2273" s="1274"/>
      <c r="G2273" s="1274"/>
      <c r="H2273" s="1274"/>
      <c r="I2273" s="1274"/>
    </row>
    <row r="2274" spans="1:14" ht="31.2" hidden="1" customHeight="1">
      <c r="A2274" s="452">
        <v>3</v>
      </c>
      <c r="B2274" s="1274" t="s">
        <v>2277</v>
      </c>
      <c r="C2274" s="1274"/>
      <c r="D2274" s="1289" t="s">
        <v>2281</v>
      </c>
      <c r="E2274" s="1274"/>
      <c r="F2274" s="1274"/>
      <c r="G2274" s="1274"/>
      <c r="H2274" s="1274"/>
      <c r="I2274" s="1274"/>
    </row>
    <row r="2275" spans="1:14" ht="38.4" hidden="1" customHeight="1">
      <c r="A2275" s="452">
        <v>4</v>
      </c>
      <c r="B2275" s="1274" t="s">
        <v>2278</v>
      </c>
      <c r="C2275" s="1274"/>
      <c r="D2275" s="1274" t="s">
        <v>2282</v>
      </c>
      <c r="E2275" s="1274"/>
      <c r="F2275" s="1274"/>
      <c r="G2275" s="1274"/>
      <c r="H2275" s="1274"/>
      <c r="I2275" s="1274"/>
    </row>
    <row r="2276" spans="1:14" ht="12" customHeight="1">
      <c r="E2276" s="213"/>
    </row>
    <row r="2277" spans="1:14" ht="13.8">
      <c r="A2277" s="65" t="s">
        <v>2311</v>
      </c>
      <c r="B2277" s="66"/>
      <c r="C2277" s="66"/>
      <c r="D2277" s="66"/>
      <c r="E2277" s="66"/>
      <c r="F2277" s="66"/>
      <c r="G2277" s="165"/>
      <c r="H2277" s="66"/>
      <c r="I2277" s="66"/>
      <c r="J2277" s="1"/>
      <c r="K2277" s="122">
        <f>ROW(A2278)</f>
        <v>2278</v>
      </c>
      <c r="L2277" s="122">
        <f>ROW(A2287)</f>
        <v>2287</v>
      </c>
      <c r="M2277" s="122"/>
      <c r="N2277" s="122"/>
    </row>
    <row r="2278" spans="1:14" ht="28.2" hidden="1" customHeight="1">
      <c r="A2278" s="1283" t="s">
        <v>2331</v>
      </c>
      <c r="B2278" s="1283"/>
      <c r="C2278" s="1283"/>
      <c r="D2278" s="1283"/>
      <c r="E2278" s="1283"/>
      <c r="F2278" s="1283"/>
      <c r="G2278" s="1283"/>
      <c r="H2278" s="1283"/>
      <c r="I2278" s="1283"/>
      <c r="J2278" s="1"/>
      <c r="K2278" s="122"/>
      <c r="L2278" s="122"/>
      <c r="M2278" s="122"/>
      <c r="N2278" s="122"/>
    </row>
    <row r="2279" spans="1:14" hidden="1">
      <c r="A2279" s="1287" t="s">
        <v>2326</v>
      </c>
      <c r="B2279" s="1287"/>
      <c r="C2279" s="1287"/>
      <c r="D2279" s="1287"/>
      <c r="E2279" s="1287"/>
      <c r="F2279" s="1287"/>
      <c r="G2279" s="1287"/>
      <c r="H2279" s="1287"/>
      <c r="I2279" s="1287"/>
    </row>
    <row r="2280" spans="1:14" ht="52.95" hidden="1" customHeight="1">
      <c r="A2280" s="1285" t="s">
        <v>2327</v>
      </c>
      <c r="B2280" s="1285"/>
      <c r="C2280" s="1285"/>
      <c r="D2280" s="1285"/>
      <c r="E2280" s="1285"/>
      <c r="F2280" s="1285"/>
      <c r="G2280" s="1285"/>
      <c r="H2280" s="1285"/>
      <c r="I2280" s="1285"/>
    </row>
    <row r="2281" spans="1:14" ht="78" hidden="1" customHeight="1">
      <c r="A2281" s="1285" t="s">
        <v>2337</v>
      </c>
      <c r="B2281" s="1285"/>
      <c r="C2281" s="1285"/>
      <c r="D2281" s="1285"/>
      <c r="E2281" s="1285"/>
      <c r="F2281" s="1285"/>
      <c r="G2281" s="1285"/>
      <c r="H2281" s="1285"/>
      <c r="I2281" s="1285"/>
    </row>
    <row r="2282" spans="1:14" hidden="1">
      <c r="A2282" s="1286" t="s">
        <v>2328</v>
      </c>
      <c r="B2282" s="1286"/>
      <c r="C2282" s="1286"/>
      <c r="D2282" s="1286"/>
      <c r="E2282" s="1286"/>
      <c r="F2282" s="1286"/>
      <c r="G2282" s="1286"/>
      <c r="H2282" s="1286"/>
      <c r="I2282" s="1286"/>
    </row>
    <row r="2283" spans="1:14" ht="52.2" hidden="1" customHeight="1">
      <c r="A2283" s="1288" t="s">
        <v>2302</v>
      </c>
      <c r="B2283" s="1288"/>
      <c r="C2283" s="1288"/>
      <c r="D2283" s="1288"/>
      <c r="E2283" s="1288"/>
      <c r="F2283" s="1288"/>
      <c r="G2283" s="1288"/>
      <c r="H2283" s="1288"/>
      <c r="I2283" s="1288"/>
    </row>
    <row r="2284" spans="1:14" hidden="1">
      <c r="A2284" s="1284" t="s">
        <v>2329</v>
      </c>
      <c r="B2284" s="1284"/>
      <c r="C2284" s="1284"/>
      <c r="D2284" s="1284"/>
      <c r="E2284" s="1284"/>
      <c r="F2284" s="1284"/>
      <c r="G2284" s="1284"/>
      <c r="H2284" s="1284"/>
      <c r="I2284" s="1284"/>
    </row>
    <row r="2285" spans="1:14" ht="49.95" hidden="1" customHeight="1">
      <c r="A2285" s="1285" t="s">
        <v>2338</v>
      </c>
      <c r="B2285" s="1285"/>
      <c r="C2285" s="1285"/>
      <c r="D2285" s="1285"/>
      <c r="E2285" s="1285"/>
      <c r="F2285" s="1285"/>
      <c r="G2285" s="1285"/>
      <c r="H2285" s="1285"/>
      <c r="I2285" s="1285"/>
    </row>
    <row r="2286" spans="1:14" ht="25.95" hidden="1" customHeight="1">
      <c r="A2286" s="1285" t="s">
        <v>2330</v>
      </c>
      <c r="B2286" s="1285"/>
      <c r="C2286" s="1285"/>
      <c r="D2286" s="1285"/>
      <c r="E2286" s="1285"/>
      <c r="F2286" s="1285"/>
      <c r="G2286" s="1285"/>
      <c r="H2286" s="1285"/>
      <c r="I2286" s="1285"/>
    </row>
    <row r="2287" spans="1:14" ht="165" hidden="1" customHeight="1">
      <c r="A2287" s="1285" t="s">
        <v>2332</v>
      </c>
      <c r="B2287" s="1285"/>
      <c r="C2287" s="1285"/>
      <c r="D2287" s="1285"/>
      <c r="E2287" s="1285"/>
      <c r="F2287" s="1285"/>
      <c r="G2287" s="1285"/>
      <c r="H2287" s="1285"/>
      <c r="I2287" s="1285"/>
    </row>
    <row r="2288" spans="1:14">
      <c r="A2288" s="483"/>
      <c r="B2288" s="483"/>
      <c r="C2288" s="483"/>
      <c r="D2288" s="483"/>
      <c r="E2288" s="483"/>
      <c r="F2288" s="483"/>
      <c r="G2288" s="483"/>
      <c r="H2288" s="483"/>
      <c r="I2288" s="483"/>
    </row>
    <row r="2289" spans="1:14" ht="13.8">
      <c r="A2289" s="65" t="s">
        <v>2336</v>
      </c>
      <c r="B2289" s="66"/>
      <c r="C2289" s="66"/>
      <c r="D2289" s="66"/>
      <c r="E2289" s="66"/>
      <c r="F2289" s="66"/>
      <c r="G2289" s="165"/>
      <c r="H2289" s="66"/>
      <c r="I2289" s="66"/>
      <c r="J2289" s="1"/>
      <c r="K2289" s="122">
        <f>ROW(A2290)</f>
        <v>2290</v>
      </c>
      <c r="L2289" s="122">
        <f>ROW(A2309)</f>
        <v>2309</v>
      </c>
      <c r="M2289" s="122"/>
      <c r="N2289" s="122"/>
    </row>
    <row r="2290" spans="1:14" ht="12" hidden="1" customHeight="1">
      <c r="A2290" s="1283" t="s">
        <v>2339</v>
      </c>
      <c r="B2290" s="1283"/>
      <c r="C2290" s="1283"/>
      <c r="D2290" s="1283"/>
      <c r="E2290" s="1283"/>
      <c r="F2290" s="1283"/>
      <c r="G2290" s="1283"/>
      <c r="H2290" s="1283"/>
      <c r="I2290" s="1283"/>
    </row>
    <row r="2291" spans="1:14" ht="12" hidden="1" customHeight="1">
      <c r="A2291" s="1284" t="s">
        <v>2340</v>
      </c>
      <c r="B2291" s="1284"/>
      <c r="C2291" s="1284"/>
      <c r="D2291" s="1284"/>
      <c r="E2291" s="1284"/>
      <c r="F2291" s="1284"/>
      <c r="G2291" s="1284"/>
      <c r="H2291" s="1284"/>
      <c r="I2291" s="1284"/>
    </row>
    <row r="2292" spans="1:14" ht="234.75" hidden="1" customHeight="1">
      <c r="A2292" s="1285" t="s">
        <v>2674</v>
      </c>
      <c r="B2292" s="1285"/>
      <c r="C2292" s="1285"/>
      <c r="D2292" s="1285"/>
      <c r="E2292" s="1285"/>
      <c r="F2292" s="1285"/>
      <c r="G2292" s="1285"/>
      <c r="H2292" s="1285"/>
      <c r="I2292" s="1285"/>
    </row>
    <row r="2293" spans="1:14" ht="105.75" hidden="1" customHeight="1">
      <c r="A2293" s="1285" t="s">
        <v>2357</v>
      </c>
      <c r="B2293" s="1285"/>
      <c r="C2293" s="1285"/>
      <c r="D2293" s="1285"/>
      <c r="E2293" s="1285"/>
      <c r="F2293" s="1285"/>
      <c r="G2293" s="1285"/>
      <c r="H2293" s="1285"/>
      <c r="I2293" s="1285"/>
    </row>
    <row r="2294" spans="1:14" ht="66.75" hidden="1" customHeight="1">
      <c r="A2294" s="1285" t="s">
        <v>2356</v>
      </c>
      <c r="B2294" s="1285"/>
      <c r="C2294" s="1285"/>
      <c r="D2294" s="1285"/>
      <c r="E2294" s="1285"/>
      <c r="F2294" s="1285"/>
      <c r="G2294" s="1285"/>
      <c r="H2294" s="1285"/>
      <c r="I2294" s="1285"/>
    </row>
    <row r="2295" spans="1:14" ht="12" hidden="1" customHeight="1">
      <c r="A2295" s="1284" t="s">
        <v>2341</v>
      </c>
      <c r="B2295" s="1284"/>
      <c r="C2295" s="1284"/>
      <c r="D2295" s="1284"/>
      <c r="E2295" s="1284"/>
      <c r="F2295" s="1284"/>
      <c r="G2295" s="1284"/>
      <c r="H2295" s="1284"/>
      <c r="I2295" s="1284"/>
    </row>
    <row r="2296" spans="1:14" ht="76.95" hidden="1" customHeight="1">
      <c r="A2296" s="1285" t="s">
        <v>2355</v>
      </c>
      <c r="B2296" s="1285"/>
      <c r="C2296" s="1285"/>
      <c r="D2296" s="1285"/>
      <c r="E2296" s="1285"/>
      <c r="F2296" s="1285"/>
      <c r="G2296" s="1285"/>
      <c r="H2296" s="1285"/>
      <c r="I2296" s="1285"/>
    </row>
    <row r="2297" spans="1:14" ht="12" hidden="1" customHeight="1">
      <c r="A2297" s="1284" t="s">
        <v>2342</v>
      </c>
      <c r="B2297" s="1284"/>
      <c r="C2297" s="1284"/>
      <c r="D2297" s="1284"/>
      <c r="E2297" s="1284"/>
      <c r="F2297" s="1284"/>
      <c r="G2297" s="1284"/>
      <c r="H2297" s="1284"/>
      <c r="I2297" s="1284"/>
    </row>
    <row r="2298" spans="1:14" ht="95.4" hidden="1" customHeight="1">
      <c r="A2298" s="1285" t="s">
        <v>2354</v>
      </c>
      <c r="B2298" s="1285"/>
      <c r="C2298" s="1285"/>
      <c r="D2298" s="1285"/>
      <c r="E2298" s="1285"/>
      <c r="F2298" s="1285"/>
      <c r="G2298" s="1285"/>
      <c r="H2298" s="1285"/>
      <c r="I2298" s="1285"/>
    </row>
    <row r="2299" spans="1:14" ht="12" hidden="1" customHeight="1">
      <c r="A2299" s="1284" t="s">
        <v>2343</v>
      </c>
      <c r="B2299" s="1284"/>
      <c r="C2299" s="1284"/>
      <c r="D2299" s="1284"/>
      <c r="E2299" s="1284"/>
      <c r="F2299" s="1284"/>
      <c r="G2299" s="1284"/>
      <c r="H2299" s="1284"/>
      <c r="I2299" s="1284"/>
    </row>
    <row r="2300" spans="1:14" ht="81.599999999999994" hidden="1" customHeight="1">
      <c r="A2300" s="1285" t="s">
        <v>2353</v>
      </c>
      <c r="B2300" s="1285"/>
      <c r="C2300" s="1285"/>
      <c r="D2300" s="1285"/>
      <c r="E2300" s="1285"/>
      <c r="F2300" s="1285"/>
      <c r="G2300" s="1285"/>
      <c r="H2300" s="1285"/>
      <c r="I2300" s="1285"/>
    </row>
    <row r="2301" spans="1:14" ht="12" hidden="1" customHeight="1">
      <c r="A2301" s="1284" t="s">
        <v>2344</v>
      </c>
      <c r="B2301" s="1284"/>
      <c r="C2301" s="1284"/>
      <c r="D2301" s="1284"/>
      <c r="E2301" s="1284"/>
      <c r="F2301" s="1284"/>
      <c r="G2301" s="1284"/>
      <c r="H2301" s="1284"/>
      <c r="I2301" s="1284"/>
    </row>
    <row r="2302" spans="1:14" ht="39.75" hidden="1" customHeight="1">
      <c r="A2302" s="1285" t="s">
        <v>2345</v>
      </c>
      <c r="B2302" s="1285"/>
      <c r="C2302" s="1285"/>
      <c r="D2302" s="1285"/>
      <c r="E2302" s="1285"/>
      <c r="F2302" s="1285"/>
      <c r="G2302" s="1285"/>
      <c r="H2302" s="1285"/>
      <c r="I2302" s="1285"/>
      <c r="L2302" s="213"/>
      <c r="M2302" s="213"/>
    </row>
    <row r="2303" spans="1:14" hidden="1">
      <c r="A2303" s="1284" t="s">
        <v>2346</v>
      </c>
      <c r="B2303" s="1284"/>
      <c r="C2303" s="1284"/>
      <c r="D2303" s="1284"/>
      <c r="E2303" s="1284"/>
      <c r="F2303" s="1284"/>
      <c r="G2303" s="1284"/>
      <c r="H2303" s="1284"/>
      <c r="I2303" s="1284"/>
      <c r="L2303" s="213"/>
      <c r="M2303" s="213"/>
    </row>
    <row r="2304" spans="1:14" ht="236.25" hidden="1" customHeight="1">
      <c r="A2304" s="1285" t="s">
        <v>2352</v>
      </c>
      <c r="B2304" s="1285"/>
      <c r="C2304" s="1285"/>
      <c r="D2304" s="1285"/>
      <c r="E2304" s="1285"/>
      <c r="F2304" s="1285"/>
      <c r="G2304" s="1285"/>
      <c r="H2304" s="1285"/>
      <c r="I2304" s="1285"/>
      <c r="L2304" s="213"/>
      <c r="M2304" s="213"/>
    </row>
    <row r="2305" spans="1:14" hidden="1">
      <c r="A2305" s="1284" t="s">
        <v>2347</v>
      </c>
      <c r="B2305" s="1284"/>
      <c r="C2305" s="1284"/>
      <c r="D2305" s="1284"/>
      <c r="E2305" s="1284"/>
      <c r="F2305" s="1284"/>
      <c r="G2305" s="1284"/>
      <c r="H2305" s="1284"/>
      <c r="I2305" s="1284"/>
      <c r="L2305" s="213"/>
      <c r="M2305" s="213"/>
    </row>
    <row r="2306" spans="1:14" ht="112.5" hidden="1" customHeight="1">
      <c r="A2306" s="1285" t="s">
        <v>2350</v>
      </c>
      <c r="B2306" s="1285"/>
      <c r="C2306" s="1285"/>
      <c r="D2306" s="1285"/>
      <c r="E2306" s="1285"/>
      <c r="F2306" s="1285"/>
      <c r="G2306" s="1285"/>
      <c r="H2306" s="1285"/>
      <c r="I2306" s="1285"/>
      <c r="L2306" s="213"/>
      <c r="M2306" s="213"/>
    </row>
    <row r="2307" spans="1:14" ht="12" hidden="1" customHeight="1">
      <c r="A2307" s="1284" t="s">
        <v>2348</v>
      </c>
      <c r="B2307" s="1284"/>
      <c r="C2307" s="1284"/>
      <c r="D2307" s="1284"/>
      <c r="E2307" s="1284"/>
      <c r="F2307" s="1284"/>
      <c r="G2307" s="1284"/>
      <c r="H2307" s="1284"/>
      <c r="I2307" s="1284"/>
      <c r="K2307" s="229"/>
      <c r="L2307" s="213"/>
      <c r="M2307" s="213"/>
    </row>
    <row r="2308" spans="1:14" ht="101.25" hidden="1" customHeight="1">
      <c r="A2308" s="1288" t="s">
        <v>2349</v>
      </c>
      <c r="B2308" s="1288"/>
      <c r="C2308" s="1288"/>
      <c r="D2308" s="1288"/>
      <c r="E2308" s="1288"/>
      <c r="F2308" s="1288"/>
      <c r="G2308" s="1288"/>
      <c r="H2308" s="1288"/>
      <c r="I2308" s="1288"/>
    </row>
    <row r="2309" spans="1:14" hidden="1">
      <c r="A2309" s="213" t="s">
        <v>2351</v>
      </c>
    </row>
    <row r="2311" spans="1:14" ht="13.8">
      <c r="A2311" s="65" t="s">
        <v>2439</v>
      </c>
      <c r="B2311" s="66"/>
      <c r="C2311" s="66"/>
      <c r="D2311" s="66"/>
      <c r="E2311" s="66"/>
      <c r="F2311" s="66"/>
      <c r="G2311" s="165"/>
      <c r="H2311" s="66"/>
      <c r="I2311" s="66"/>
      <c r="J2311" s="1"/>
      <c r="K2311" s="122">
        <f>ROW(A2312)</f>
        <v>2312</v>
      </c>
      <c r="L2311" s="122">
        <f>ROW(A2322)</f>
        <v>2322</v>
      </c>
      <c r="M2311" s="122"/>
      <c r="N2311" s="122"/>
    </row>
    <row r="2312" spans="1:14" hidden="1">
      <c r="A2312" s="213" t="s">
        <v>2440</v>
      </c>
      <c r="E2312" s="213"/>
    </row>
    <row r="2313" spans="1:14" hidden="1">
      <c r="A2313" s="454" t="s">
        <v>2441</v>
      </c>
      <c r="B2313" s="455"/>
      <c r="C2313" s="454" t="s">
        <v>2442</v>
      </c>
      <c r="D2313" s="456"/>
      <c r="E2313" s="213"/>
    </row>
    <row r="2314" spans="1:14" hidden="1">
      <c r="A2314" s="519" t="s">
        <v>2443</v>
      </c>
      <c r="B2314" s="399"/>
      <c r="C2314" s="521" t="s">
        <v>2447</v>
      </c>
      <c r="D2314" s="399"/>
    </row>
    <row r="2315" spans="1:14" hidden="1">
      <c r="A2315" s="519" t="s">
        <v>946</v>
      </c>
      <c r="B2315" s="399"/>
      <c r="C2315" s="521" t="s">
        <v>2448</v>
      </c>
      <c r="D2315" s="399"/>
    </row>
    <row r="2316" spans="1:14" hidden="1">
      <c r="A2316" s="519" t="s">
        <v>1668</v>
      </c>
      <c r="B2316" s="399"/>
      <c r="C2316" s="521" t="s">
        <v>2449</v>
      </c>
      <c r="D2316" s="399"/>
    </row>
    <row r="2317" spans="1:14" hidden="1">
      <c r="A2317" s="519" t="s">
        <v>1670</v>
      </c>
      <c r="B2317" s="399"/>
      <c r="C2317" s="521" t="s">
        <v>2450</v>
      </c>
      <c r="D2317" s="399"/>
    </row>
    <row r="2318" spans="1:14" hidden="1">
      <c r="A2318" s="519" t="s">
        <v>333</v>
      </c>
      <c r="B2318" s="399"/>
      <c r="C2318" s="521" t="s">
        <v>2451</v>
      </c>
      <c r="D2318" s="399"/>
    </row>
    <row r="2319" spans="1:14" hidden="1">
      <c r="A2319" s="519" t="s">
        <v>2444</v>
      </c>
      <c r="B2319" s="399"/>
      <c r="C2319" s="521" t="s">
        <v>2452</v>
      </c>
      <c r="D2319" s="399"/>
    </row>
    <row r="2320" spans="1:14" hidden="1">
      <c r="A2320" s="519" t="s">
        <v>2445</v>
      </c>
      <c r="B2320" s="399"/>
      <c r="C2320" s="521" t="s">
        <v>1154</v>
      </c>
      <c r="D2320" s="399"/>
    </row>
    <row r="2321" spans="1:14" hidden="1">
      <c r="A2321" s="519" t="s">
        <v>339</v>
      </c>
      <c r="B2321" s="399"/>
      <c r="C2321" s="521" t="s">
        <v>2453</v>
      </c>
      <c r="D2321" s="399"/>
    </row>
    <row r="2322" spans="1:14" hidden="1">
      <c r="A2322" s="520" t="s">
        <v>2446</v>
      </c>
      <c r="B2322" s="226"/>
      <c r="C2322" s="522" t="s">
        <v>2454</v>
      </c>
      <c r="D2322" s="226"/>
    </row>
    <row r="2324" spans="1:14" ht="13.8">
      <c r="A2324" s="65" t="s">
        <v>2775</v>
      </c>
      <c r="B2324" s="66"/>
      <c r="C2324" s="66"/>
      <c r="D2324" s="66"/>
      <c r="E2324" s="66"/>
      <c r="F2324" s="66"/>
      <c r="G2324" s="165"/>
      <c r="H2324" s="66"/>
      <c r="I2324" s="66"/>
      <c r="J2324" s="1"/>
      <c r="K2324" s="122">
        <f>ROW(A2325)</f>
        <v>2325</v>
      </c>
      <c r="L2324" s="122">
        <f>ROW(A2367)</f>
        <v>2367</v>
      </c>
      <c r="M2324" s="122"/>
      <c r="N2324" s="122"/>
    </row>
    <row r="2325" spans="1:14" hidden="1">
      <c r="A2325" s="213" t="s">
        <v>2773</v>
      </c>
      <c r="E2325" s="213"/>
    </row>
    <row r="2326" spans="1:14" ht="14.4" hidden="1">
      <c r="A2326" s="521" t="s">
        <v>2776</v>
      </c>
      <c r="B2326" s="851" t="s">
        <v>2774</v>
      </c>
      <c r="C2326" s="521"/>
    </row>
    <row r="2327" spans="1:14" hidden="1">
      <c r="C2327" s="521"/>
    </row>
    <row r="2328" spans="1:14" hidden="1"/>
    <row r="2329" spans="1:14" hidden="1"/>
    <row r="2330" spans="1:14" hidden="1"/>
    <row r="2331" spans="1:14" hidden="1"/>
    <row r="2332" spans="1:14" hidden="1">
      <c r="A2332" s="852"/>
    </row>
    <row r="2333" spans="1:14" hidden="1"/>
    <row r="2334" spans="1:14" hidden="1"/>
    <row r="2335" spans="1:14" hidden="1"/>
    <row r="2336" spans="1:14"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9" spans="1:14" ht="13.8">
      <c r="A2369" s="65" t="s">
        <v>2784</v>
      </c>
      <c r="B2369" s="66"/>
      <c r="C2369" s="66"/>
      <c r="D2369" s="66"/>
      <c r="E2369" s="66"/>
      <c r="F2369" s="66"/>
      <c r="G2369" s="165"/>
      <c r="H2369" s="66"/>
      <c r="I2369" s="66"/>
      <c r="J2369" s="1"/>
      <c r="K2369" s="122">
        <f>ROW(A2370)</f>
        <v>2370</v>
      </c>
      <c r="L2369" s="122">
        <f>ROW(A2388)</f>
        <v>2388</v>
      </c>
      <c r="M2369" s="122"/>
      <c r="N2369" s="122"/>
    </row>
    <row r="2370" spans="1:14" ht="13.2" hidden="1">
      <c r="A2370" s="181" t="s">
        <v>2204</v>
      </c>
      <c r="B2370" s="18"/>
      <c r="C2370" s="18"/>
      <c r="D2370" s="512"/>
      <c r="E2370" s="18"/>
      <c r="F2370" s="18"/>
      <c r="G2370" s="134"/>
      <c r="H2370" s="18"/>
      <c r="I2370" s="18"/>
      <c r="J2370" s="1"/>
      <c r="K2370" s="122"/>
      <c r="L2370" s="122"/>
      <c r="M2370" s="122"/>
      <c r="N2370" s="122"/>
    </row>
    <row r="2371" spans="1:14" ht="15" hidden="1">
      <c r="A2371" s="443" t="s">
        <v>2786</v>
      </c>
      <c r="B2371" s="474" t="s">
        <v>2785</v>
      </c>
      <c r="C2371" s="474"/>
      <c r="D2371" s="443" t="s">
        <v>1052</v>
      </c>
      <c r="E2371" s="474"/>
      <c r="F2371" s="262"/>
      <c r="G2371" s="443" t="s">
        <v>1906</v>
      </c>
      <c r="H2371" s="475"/>
      <c r="I2371" s="876" t="s">
        <v>2819</v>
      </c>
    </row>
    <row r="2372" spans="1:14" hidden="1">
      <c r="A2372" s="444"/>
      <c r="B2372" s="445"/>
      <c r="C2372" s="445"/>
      <c r="D2372" s="444"/>
      <c r="E2372" s="445"/>
      <c r="F2372" s="446"/>
      <c r="G2372" s="445" t="s">
        <v>2208</v>
      </c>
      <c r="H2372" s="446"/>
      <c r="I2372" s="876"/>
    </row>
    <row r="2373" spans="1:14" ht="12" hidden="1" customHeight="1">
      <c r="A2373" s="858">
        <v>1</v>
      </c>
      <c r="B2373" s="474" t="s">
        <v>1919</v>
      </c>
      <c r="C2373" s="474"/>
      <c r="D2373" s="443" t="s">
        <v>1040</v>
      </c>
      <c r="E2373" s="474"/>
      <c r="F2373" s="857"/>
      <c r="G2373" s="859">
        <v>1.1000000000000001</v>
      </c>
      <c r="H2373" s="475"/>
      <c r="I2373" s="876">
        <f>G2373</f>
        <v>1.1000000000000001</v>
      </c>
    </row>
    <row r="2374" spans="1:14" ht="12" hidden="1" customHeight="1">
      <c r="A2374" s="868">
        <f>A2373+1</f>
        <v>2</v>
      </c>
      <c r="B2374" s="182"/>
      <c r="C2374" s="182"/>
      <c r="D2374" s="860" t="s">
        <v>1042</v>
      </c>
      <c r="E2374" s="182"/>
      <c r="F2374" s="865"/>
      <c r="G2374" s="862">
        <v>1.1000000000000001</v>
      </c>
      <c r="H2374" s="861"/>
      <c r="I2374" s="876">
        <f t="shared" ref="I2374:I2386" si="280">G2374</f>
        <v>1.1000000000000001</v>
      </c>
    </row>
    <row r="2375" spans="1:14" ht="12" hidden="1" customHeight="1">
      <c r="A2375" s="868">
        <f t="shared" ref="A2375:A2388" si="281">A2374+1</f>
        <v>3</v>
      </c>
      <c r="B2375" s="182"/>
      <c r="C2375" s="182"/>
      <c r="D2375" s="860" t="s">
        <v>1044</v>
      </c>
      <c r="E2375" s="182"/>
      <c r="F2375" s="865"/>
      <c r="G2375" s="862">
        <v>1.1000000000000001</v>
      </c>
      <c r="H2375" s="861"/>
      <c r="I2375" s="876">
        <f t="shared" si="280"/>
        <v>1.1000000000000001</v>
      </c>
    </row>
    <row r="2376" spans="1:14" ht="12" hidden="1" customHeight="1">
      <c r="A2376" s="868">
        <f t="shared" si="281"/>
        <v>4</v>
      </c>
      <c r="B2376" s="182"/>
      <c r="C2376" s="182"/>
      <c r="D2376" s="860" t="s">
        <v>1045</v>
      </c>
      <c r="E2376" s="182"/>
      <c r="F2376" s="865"/>
      <c r="G2376" s="862">
        <v>1.1000000000000001</v>
      </c>
      <c r="H2376" s="861"/>
      <c r="I2376" s="876">
        <f t="shared" si="280"/>
        <v>1.1000000000000001</v>
      </c>
    </row>
    <row r="2377" spans="1:14" ht="12" hidden="1" customHeight="1">
      <c r="A2377" s="869">
        <f t="shared" si="281"/>
        <v>5</v>
      </c>
      <c r="B2377" s="445"/>
      <c r="C2377" s="445"/>
      <c r="D2377" s="444" t="s">
        <v>1046</v>
      </c>
      <c r="E2377" s="445"/>
      <c r="F2377" s="866"/>
      <c r="G2377" s="863">
        <v>1.2</v>
      </c>
      <c r="H2377" s="446"/>
      <c r="I2377" s="876">
        <f t="shared" si="280"/>
        <v>1.2</v>
      </c>
    </row>
    <row r="2378" spans="1:14" ht="12" hidden="1" customHeight="1">
      <c r="A2378" s="870">
        <f t="shared" si="281"/>
        <v>6</v>
      </c>
      <c r="B2378" s="474" t="s">
        <v>1920</v>
      </c>
      <c r="C2378" s="474"/>
      <c r="D2378" s="443" t="s">
        <v>1043</v>
      </c>
      <c r="E2378" s="474"/>
      <c r="F2378" s="857"/>
      <c r="G2378" s="859">
        <v>1.1000000000000001</v>
      </c>
      <c r="H2378" s="475"/>
      <c r="I2378" s="878">
        <v>0.5</v>
      </c>
    </row>
    <row r="2379" spans="1:14" ht="12" hidden="1" customHeight="1">
      <c r="A2379" s="868">
        <f t="shared" si="281"/>
        <v>7</v>
      </c>
      <c r="B2379" s="182"/>
      <c r="C2379" s="182"/>
      <c r="D2379" s="860" t="s">
        <v>1041</v>
      </c>
      <c r="E2379" s="182"/>
      <c r="F2379" s="865"/>
      <c r="G2379" s="862">
        <v>1.1000000000000001</v>
      </c>
      <c r="H2379" s="861"/>
      <c r="I2379" s="878">
        <v>0.5</v>
      </c>
    </row>
    <row r="2380" spans="1:14" ht="12" hidden="1" customHeight="1">
      <c r="A2380" s="869">
        <f t="shared" si="281"/>
        <v>8</v>
      </c>
      <c r="B2380" s="445"/>
      <c r="C2380" s="445"/>
      <c r="D2380" s="444" t="s">
        <v>1910</v>
      </c>
      <c r="E2380" s="445"/>
      <c r="F2380" s="866"/>
      <c r="G2380" s="863">
        <v>0.2</v>
      </c>
      <c r="H2380" s="446"/>
      <c r="I2380" s="876">
        <f t="shared" si="280"/>
        <v>0.2</v>
      </c>
    </row>
    <row r="2381" spans="1:14" hidden="1">
      <c r="A2381" s="870">
        <f t="shared" si="281"/>
        <v>9</v>
      </c>
      <c r="B2381" s="474" t="s">
        <v>1047</v>
      </c>
      <c r="C2381" s="474"/>
      <c r="D2381" s="443" t="s">
        <v>2787</v>
      </c>
      <c r="E2381" s="474"/>
      <c r="F2381" s="857"/>
      <c r="G2381" s="859">
        <v>1.8</v>
      </c>
      <c r="H2381" s="475"/>
      <c r="I2381" s="876">
        <f t="shared" si="280"/>
        <v>1.8</v>
      </c>
    </row>
    <row r="2382" spans="1:14" ht="25.2" hidden="1" customHeight="1">
      <c r="A2382" s="868">
        <f t="shared" si="281"/>
        <v>10</v>
      </c>
      <c r="B2382" s="182"/>
      <c r="C2382" s="182"/>
      <c r="D2382" s="1366" t="s">
        <v>2788</v>
      </c>
      <c r="E2382" s="1272"/>
      <c r="F2382" s="1363"/>
      <c r="G2382" s="862">
        <v>0</v>
      </c>
      <c r="H2382" s="861"/>
      <c r="I2382" s="876">
        <f t="shared" si="280"/>
        <v>0</v>
      </c>
    </row>
    <row r="2383" spans="1:14" hidden="1">
      <c r="A2383" s="868">
        <f t="shared" si="281"/>
        <v>11</v>
      </c>
      <c r="B2383" s="182"/>
      <c r="C2383" s="182"/>
      <c r="D2383" s="1367" t="s">
        <v>2789</v>
      </c>
      <c r="E2383" s="1364"/>
      <c r="F2383" s="1365"/>
      <c r="G2383" s="863">
        <v>2.8</v>
      </c>
      <c r="H2383" s="446"/>
      <c r="I2383" s="876" t="s">
        <v>2684</v>
      </c>
    </row>
    <row r="2384" spans="1:14" ht="26.4" hidden="1" customHeight="1">
      <c r="A2384" s="870">
        <f t="shared" si="281"/>
        <v>12</v>
      </c>
      <c r="B2384" s="474" t="s">
        <v>2790</v>
      </c>
      <c r="C2384" s="474"/>
      <c r="D2384" s="1368" t="s">
        <v>2791</v>
      </c>
      <c r="E2384" s="1361"/>
      <c r="F2384" s="1362"/>
      <c r="G2384" s="862">
        <v>0</v>
      </c>
      <c r="H2384" s="861"/>
      <c r="I2384" s="876">
        <f t="shared" si="280"/>
        <v>0</v>
      </c>
    </row>
    <row r="2385" spans="1:14" ht="12" hidden="1" customHeight="1">
      <c r="A2385" s="868">
        <f t="shared" si="281"/>
        <v>13</v>
      </c>
      <c r="B2385" s="182"/>
      <c r="C2385" s="182"/>
      <c r="D2385" s="1366" t="s">
        <v>2792</v>
      </c>
      <c r="E2385" s="1272"/>
      <c r="F2385" s="1363"/>
      <c r="G2385" s="862">
        <v>0</v>
      </c>
      <c r="H2385" s="861"/>
      <c r="I2385" s="876">
        <f t="shared" si="280"/>
        <v>0</v>
      </c>
    </row>
    <row r="2386" spans="1:14" ht="12" hidden="1" customHeight="1">
      <c r="A2386" s="868">
        <f t="shared" si="281"/>
        <v>14</v>
      </c>
      <c r="B2386" s="182"/>
      <c r="C2386" s="182"/>
      <c r="D2386" s="1366" t="s">
        <v>1916</v>
      </c>
      <c r="E2386" s="1272"/>
      <c r="F2386" s="1363"/>
      <c r="G2386" s="862">
        <v>0</v>
      </c>
      <c r="H2386" s="861"/>
      <c r="I2386" s="876">
        <f t="shared" si="280"/>
        <v>0</v>
      </c>
    </row>
    <row r="2387" spans="1:14" ht="61.95" hidden="1" customHeight="1">
      <c r="A2387" s="869">
        <f t="shared" si="281"/>
        <v>15</v>
      </c>
      <c r="B2387" s="445"/>
      <c r="C2387" s="445"/>
      <c r="D2387" s="1367" t="s">
        <v>2793</v>
      </c>
      <c r="E2387" s="1364"/>
      <c r="F2387" s="1365"/>
      <c r="G2387" s="1373" t="s">
        <v>2794</v>
      </c>
      <c r="H2387" s="1374"/>
      <c r="I2387" s="1369" t="s">
        <v>2820</v>
      </c>
      <c r="J2387" s="1370"/>
      <c r="K2387" s="1370"/>
      <c r="L2387" s="1370"/>
    </row>
    <row r="2388" spans="1:14" ht="12" hidden="1" customHeight="1">
      <c r="A2388" s="871">
        <f t="shared" si="281"/>
        <v>16</v>
      </c>
      <c r="B2388" s="472" t="s">
        <v>2795</v>
      </c>
      <c r="C2388" s="472"/>
      <c r="D2388" s="471"/>
      <c r="E2388" s="867"/>
      <c r="F2388" s="856"/>
      <c r="G2388" s="864">
        <v>0</v>
      </c>
      <c r="H2388" s="473"/>
      <c r="I2388" s="876" t="s">
        <v>2684</v>
      </c>
    </row>
    <row r="2389" spans="1:14" ht="12" customHeight="1">
      <c r="E2389" s="213"/>
    </row>
    <row r="2390" spans="1:14" ht="13.8">
      <c r="A2390" s="65" t="s">
        <v>2810</v>
      </c>
      <c r="B2390" s="66"/>
      <c r="C2390" s="66"/>
      <c r="D2390" s="66"/>
      <c r="E2390" s="66"/>
      <c r="F2390" s="66"/>
      <c r="G2390" s="165"/>
      <c r="H2390" s="66"/>
      <c r="I2390" s="66"/>
      <c r="J2390" s="1"/>
      <c r="K2390" s="122">
        <f>ROW(A2391)</f>
        <v>2391</v>
      </c>
      <c r="L2390" s="122">
        <f>ROW(A2418)</f>
        <v>2418</v>
      </c>
      <c r="M2390" s="122"/>
      <c r="N2390" s="122"/>
    </row>
    <row r="2391" spans="1:14" ht="13.2" hidden="1">
      <c r="A2391" s="181" t="s">
        <v>2809</v>
      </c>
      <c r="B2391" s="18"/>
      <c r="C2391" s="18"/>
      <c r="D2391" s="512"/>
      <c r="E2391" s="18"/>
      <c r="F2391" s="18"/>
      <c r="G2391" s="134"/>
      <c r="H2391" s="18"/>
      <c r="I2391" s="18"/>
      <c r="J2391" s="1"/>
      <c r="K2391" s="122"/>
      <c r="L2391" s="122"/>
      <c r="M2391" s="122"/>
      <c r="N2391" s="122"/>
    </row>
    <row r="2392" spans="1:14" hidden="1">
      <c r="A2392" s="443" t="s">
        <v>2786</v>
      </c>
      <c r="B2392" s="474" t="s">
        <v>2785</v>
      </c>
      <c r="C2392" s="474"/>
      <c r="D2392" s="443" t="s">
        <v>1052</v>
      </c>
      <c r="E2392" s="474"/>
      <c r="F2392" s="262"/>
      <c r="G2392" s="443" t="s">
        <v>2796</v>
      </c>
      <c r="H2392" s="475"/>
    </row>
    <row r="2393" spans="1:14" ht="15" hidden="1">
      <c r="A2393" s="444"/>
      <c r="B2393" s="445"/>
      <c r="C2393" s="445"/>
      <c r="D2393" s="444"/>
      <c r="E2393" s="445"/>
      <c r="F2393" s="446"/>
      <c r="G2393" s="445" t="s">
        <v>2797</v>
      </c>
      <c r="H2393" s="446"/>
    </row>
    <row r="2394" spans="1:14" ht="12" hidden="1" customHeight="1">
      <c r="A2394" s="858">
        <v>1</v>
      </c>
      <c r="B2394" s="474" t="s">
        <v>1919</v>
      </c>
      <c r="C2394" s="474"/>
      <c r="D2394" s="443" t="s">
        <v>1040</v>
      </c>
      <c r="E2394" s="474"/>
      <c r="F2394" s="857"/>
      <c r="G2394" s="859">
        <v>310</v>
      </c>
      <c r="H2394" s="475"/>
    </row>
    <row r="2395" spans="1:14" ht="12" hidden="1" customHeight="1">
      <c r="A2395" s="868">
        <f>A2394+1</f>
        <v>2</v>
      </c>
      <c r="B2395" s="182"/>
      <c r="C2395" s="182"/>
      <c r="D2395" s="860" t="s">
        <v>1042</v>
      </c>
      <c r="E2395" s="182"/>
      <c r="F2395" s="865"/>
      <c r="G2395" s="862">
        <v>240</v>
      </c>
      <c r="H2395" s="861"/>
    </row>
    <row r="2396" spans="1:14" ht="12" hidden="1" customHeight="1">
      <c r="A2396" s="868">
        <f t="shared" ref="A2396:A2418" si="282">A2395+1</f>
        <v>3</v>
      </c>
      <c r="B2396" s="182"/>
      <c r="C2396" s="182"/>
      <c r="D2396" s="860" t="s">
        <v>1044</v>
      </c>
      <c r="E2396" s="182"/>
      <c r="F2396" s="865"/>
      <c r="G2396" s="862">
        <v>270</v>
      </c>
      <c r="H2396" s="861"/>
    </row>
    <row r="2397" spans="1:14" ht="12" hidden="1" customHeight="1">
      <c r="A2397" s="868">
        <f t="shared" si="282"/>
        <v>4</v>
      </c>
      <c r="B2397" s="182"/>
      <c r="C2397" s="182"/>
      <c r="D2397" s="860" t="s">
        <v>1045</v>
      </c>
      <c r="E2397" s="182"/>
      <c r="F2397" s="865"/>
      <c r="G2397" s="862">
        <v>400</v>
      </c>
      <c r="H2397" s="861"/>
    </row>
    <row r="2398" spans="1:14" ht="12" hidden="1" customHeight="1">
      <c r="A2398" s="869">
        <f t="shared" si="282"/>
        <v>5</v>
      </c>
      <c r="B2398" s="445"/>
      <c r="C2398" s="445"/>
      <c r="D2398" s="444" t="s">
        <v>1046</v>
      </c>
      <c r="E2398" s="445"/>
      <c r="F2398" s="866"/>
      <c r="G2398" s="863">
        <v>430</v>
      </c>
      <c r="H2398" s="446"/>
    </row>
    <row r="2399" spans="1:14" ht="12" hidden="1" customHeight="1">
      <c r="A2399" s="870">
        <f t="shared" si="282"/>
        <v>6</v>
      </c>
      <c r="B2399" s="474" t="s">
        <v>1920</v>
      </c>
      <c r="C2399" s="474"/>
      <c r="D2399" s="443" t="s">
        <v>1043</v>
      </c>
      <c r="E2399" s="474"/>
      <c r="F2399" s="857"/>
      <c r="G2399" s="859">
        <v>140</v>
      </c>
      <c r="H2399" s="475"/>
    </row>
    <row r="2400" spans="1:14" ht="12" hidden="1" customHeight="1">
      <c r="A2400" s="868">
        <f t="shared" si="282"/>
        <v>7</v>
      </c>
      <c r="B2400" s="182"/>
      <c r="C2400" s="182"/>
      <c r="D2400" s="860" t="s">
        <v>2800</v>
      </c>
      <c r="E2400" s="182"/>
      <c r="F2400" s="865"/>
      <c r="G2400" s="862">
        <v>75</v>
      </c>
      <c r="H2400" s="861"/>
    </row>
    <row r="2401" spans="1:11" ht="12" hidden="1" customHeight="1">
      <c r="A2401" s="868">
        <f t="shared" si="282"/>
        <v>8</v>
      </c>
      <c r="B2401" s="182"/>
      <c r="C2401" s="182"/>
      <c r="D2401" s="860" t="s">
        <v>2798</v>
      </c>
      <c r="E2401" s="182"/>
      <c r="F2401" s="865"/>
      <c r="G2401" s="862">
        <v>180</v>
      </c>
      <c r="H2401" s="861"/>
    </row>
    <row r="2402" spans="1:11" ht="12" hidden="1" customHeight="1">
      <c r="A2402" s="868">
        <f t="shared" si="282"/>
        <v>9</v>
      </c>
      <c r="B2402" s="182"/>
      <c r="C2402" s="182"/>
      <c r="D2402" s="860" t="s">
        <v>1041</v>
      </c>
      <c r="E2402" s="182"/>
      <c r="F2402" s="865"/>
      <c r="G2402" s="862">
        <v>210</v>
      </c>
      <c r="H2402" s="861"/>
    </row>
    <row r="2403" spans="1:11" ht="12" hidden="1" customHeight="1">
      <c r="A2403" s="868">
        <f t="shared" si="282"/>
        <v>10</v>
      </c>
      <c r="B2403" s="182"/>
      <c r="C2403" s="182"/>
      <c r="D2403" s="860" t="s">
        <v>2799</v>
      </c>
      <c r="E2403" s="182"/>
      <c r="F2403" s="865"/>
      <c r="G2403" s="862">
        <v>105</v>
      </c>
      <c r="H2403" s="861"/>
    </row>
    <row r="2404" spans="1:11" ht="12" hidden="1" customHeight="1">
      <c r="A2404" s="869">
        <f t="shared" si="282"/>
        <v>11</v>
      </c>
      <c r="B2404" s="445"/>
      <c r="C2404" s="445"/>
      <c r="D2404" s="444" t="s">
        <v>1910</v>
      </c>
      <c r="E2404" s="445"/>
      <c r="F2404" s="866"/>
      <c r="G2404" s="863">
        <v>20</v>
      </c>
      <c r="H2404" s="446"/>
    </row>
    <row r="2405" spans="1:11" hidden="1">
      <c r="A2405" s="870">
        <f t="shared" si="282"/>
        <v>12</v>
      </c>
      <c r="B2405" s="474" t="s">
        <v>1047</v>
      </c>
      <c r="C2405" s="474"/>
      <c r="D2405" s="443" t="s">
        <v>2787</v>
      </c>
      <c r="E2405" s="474"/>
      <c r="F2405" s="857"/>
      <c r="G2405" s="859">
        <v>560</v>
      </c>
      <c r="H2405" s="475"/>
    </row>
    <row r="2406" spans="1:11" ht="25.2" hidden="1" customHeight="1">
      <c r="A2406" s="868">
        <f t="shared" si="282"/>
        <v>13</v>
      </c>
      <c r="B2406" s="182"/>
      <c r="C2406" s="182"/>
      <c r="D2406" s="1366" t="s">
        <v>2788</v>
      </c>
      <c r="E2406" s="1272"/>
      <c r="F2406" s="1363"/>
      <c r="G2406" s="862">
        <v>0</v>
      </c>
      <c r="H2406" s="861"/>
    </row>
    <row r="2407" spans="1:11" hidden="1">
      <c r="A2407" s="868">
        <f t="shared" si="282"/>
        <v>14</v>
      </c>
      <c r="B2407" s="182"/>
      <c r="C2407" s="182"/>
      <c r="D2407" s="1367" t="s">
        <v>2789</v>
      </c>
      <c r="E2407" s="1364"/>
      <c r="F2407" s="1365"/>
      <c r="G2407" s="863">
        <v>860</v>
      </c>
      <c r="H2407" s="446"/>
    </row>
    <row r="2408" spans="1:11" ht="26.4" hidden="1" customHeight="1">
      <c r="A2408" s="870">
        <f t="shared" si="282"/>
        <v>15</v>
      </c>
      <c r="B2408" s="474" t="s">
        <v>2790</v>
      </c>
      <c r="C2408" s="474"/>
      <c r="D2408" s="1368" t="s">
        <v>2791</v>
      </c>
      <c r="E2408" s="1361"/>
      <c r="F2408" s="1362"/>
      <c r="G2408" s="862">
        <v>0</v>
      </c>
      <c r="H2408" s="861"/>
    </row>
    <row r="2409" spans="1:11" ht="12" hidden="1" customHeight="1">
      <c r="A2409" s="868">
        <f t="shared" si="282"/>
        <v>16</v>
      </c>
      <c r="B2409" s="182"/>
      <c r="C2409" s="182"/>
      <c r="D2409" s="1366" t="s">
        <v>2792</v>
      </c>
      <c r="E2409" s="1272"/>
      <c r="F2409" s="1363"/>
      <c r="G2409" s="862">
        <v>0</v>
      </c>
      <c r="H2409" s="861"/>
    </row>
    <row r="2410" spans="1:11" ht="12" hidden="1" customHeight="1">
      <c r="A2410" s="868">
        <f t="shared" si="282"/>
        <v>17</v>
      </c>
      <c r="B2410" s="182"/>
      <c r="C2410" s="182"/>
      <c r="D2410" s="1366" t="s">
        <v>2717</v>
      </c>
      <c r="E2410" s="1272"/>
      <c r="F2410" s="1363"/>
      <c r="G2410" s="862">
        <v>40</v>
      </c>
      <c r="H2410" s="861"/>
    </row>
    <row r="2411" spans="1:11" ht="25.2" hidden="1" customHeight="1">
      <c r="A2411" s="868">
        <f t="shared" si="282"/>
        <v>18</v>
      </c>
      <c r="B2411" s="182"/>
      <c r="C2411" s="182"/>
      <c r="D2411" s="1366" t="s">
        <v>2793</v>
      </c>
      <c r="E2411" s="1272"/>
      <c r="F2411" s="1363"/>
      <c r="G2411" s="1371" t="s">
        <v>2801</v>
      </c>
      <c r="H2411" s="1372"/>
      <c r="I2411" s="420"/>
      <c r="J2411" s="420"/>
      <c r="K2411" s="420"/>
    </row>
    <row r="2412" spans="1:11" ht="46.2" hidden="1" customHeight="1">
      <c r="A2412" s="869">
        <f t="shared" si="282"/>
        <v>19</v>
      </c>
      <c r="B2412" s="445"/>
      <c r="C2412" s="445"/>
      <c r="D2412" s="1367" t="s">
        <v>2802</v>
      </c>
      <c r="E2412" s="1364"/>
      <c r="F2412" s="1365"/>
      <c r="G2412" s="862">
        <v>20</v>
      </c>
      <c r="H2412" s="861"/>
      <c r="I2412" s="420"/>
      <c r="J2412" s="420"/>
      <c r="K2412" s="420"/>
    </row>
    <row r="2413" spans="1:11" ht="20.399999999999999" hidden="1" customHeight="1">
      <c r="A2413" s="870">
        <f t="shared" si="282"/>
        <v>20</v>
      </c>
      <c r="B2413" s="1361" t="s">
        <v>2803</v>
      </c>
      <c r="C2413" s="1362"/>
      <c r="D2413" s="443" t="s">
        <v>2804</v>
      </c>
      <c r="E2413" s="474"/>
      <c r="F2413" s="857"/>
      <c r="G2413" s="859">
        <v>300</v>
      </c>
      <c r="H2413" s="475"/>
    </row>
    <row r="2414" spans="1:11" ht="19.2" hidden="1" customHeight="1">
      <c r="A2414" s="868">
        <f t="shared" si="282"/>
        <v>21</v>
      </c>
      <c r="B2414" s="1272"/>
      <c r="C2414" s="1363"/>
      <c r="D2414" s="1366" t="s">
        <v>2805</v>
      </c>
      <c r="E2414" s="1272"/>
      <c r="F2414" s="1363"/>
      <c r="G2414" s="862">
        <v>180</v>
      </c>
      <c r="H2414" s="861"/>
    </row>
    <row r="2415" spans="1:11" ht="19.95" hidden="1" customHeight="1">
      <c r="A2415" s="868">
        <f t="shared" si="282"/>
        <v>22</v>
      </c>
      <c r="B2415" s="1364"/>
      <c r="C2415" s="1365"/>
      <c r="D2415" s="1367" t="s">
        <v>2806</v>
      </c>
      <c r="E2415" s="1364"/>
      <c r="F2415" s="1365"/>
      <c r="G2415" s="863">
        <v>40</v>
      </c>
      <c r="H2415" s="446"/>
    </row>
    <row r="2416" spans="1:11" hidden="1">
      <c r="A2416" s="870">
        <f t="shared" si="282"/>
        <v>23</v>
      </c>
      <c r="B2416" s="1361" t="s">
        <v>1924</v>
      </c>
      <c r="C2416" s="1362"/>
      <c r="D2416" s="443" t="s">
        <v>2804</v>
      </c>
      <c r="E2416" s="474"/>
      <c r="F2416" s="857"/>
      <c r="G2416" s="859">
        <v>400</v>
      </c>
      <c r="H2416" s="475"/>
    </row>
    <row r="2417" spans="1:14" hidden="1">
      <c r="A2417" s="868">
        <f t="shared" si="282"/>
        <v>24</v>
      </c>
      <c r="B2417" s="1272"/>
      <c r="C2417" s="1363"/>
      <c r="D2417" s="1366" t="s">
        <v>2805</v>
      </c>
      <c r="E2417" s="1272"/>
      <c r="F2417" s="1363"/>
      <c r="G2417" s="862">
        <v>300</v>
      </c>
      <c r="H2417" s="861"/>
    </row>
    <row r="2418" spans="1:14" hidden="1">
      <c r="A2418" s="869">
        <f t="shared" si="282"/>
        <v>25</v>
      </c>
      <c r="B2418" s="1364"/>
      <c r="C2418" s="1365"/>
      <c r="D2418" s="1367" t="s">
        <v>2806</v>
      </c>
      <c r="E2418" s="1364"/>
      <c r="F2418" s="1365"/>
      <c r="G2418" s="863">
        <v>60</v>
      </c>
      <c r="H2418" s="446"/>
    </row>
    <row r="2420" spans="1:14" ht="13.8">
      <c r="A2420" s="65" t="s">
        <v>2807</v>
      </c>
      <c r="B2420" s="66"/>
      <c r="C2420" s="66"/>
      <c r="D2420" s="66"/>
      <c r="E2420" s="66"/>
      <c r="F2420" s="66"/>
      <c r="G2420" s="165"/>
      <c r="H2420" s="66"/>
      <c r="I2420" s="66"/>
      <c r="J2420" s="1"/>
      <c r="K2420" s="122">
        <f>ROW(A2421)</f>
        <v>2421</v>
      </c>
      <c r="L2420" s="122">
        <f>ROW(A2432)</f>
        <v>2432</v>
      </c>
      <c r="M2420" s="122"/>
      <c r="N2420" s="122"/>
    </row>
    <row r="2421" spans="1:14" ht="13.2" hidden="1">
      <c r="A2421" s="181" t="s">
        <v>2808</v>
      </c>
      <c r="B2421" s="18"/>
      <c r="C2421" s="18"/>
      <c r="D2421" s="512"/>
      <c r="E2421" s="18"/>
      <c r="F2421" s="18"/>
      <c r="G2421" s="134"/>
      <c r="H2421" s="18"/>
      <c r="I2421" s="18"/>
      <c r="J2421" s="1"/>
      <c r="K2421" s="122"/>
      <c r="L2421" s="122"/>
      <c r="M2421" s="122"/>
      <c r="N2421" s="122"/>
    </row>
    <row r="2422" spans="1:14" hidden="1">
      <c r="A2422" s="261" t="s">
        <v>945</v>
      </c>
      <c r="B2422" s="262"/>
      <c r="C2422" s="261" t="s">
        <v>2811</v>
      </c>
      <c r="D2422" s="263"/>
      <c r="E2422" s="264"/>
      <c r="F2422" s="263"/>
      <c r="G2422" s="262"/>
      <c r="H2422" s="876" t="s">
        <v>2821</v>
      </c>
    </row>
    <row r="2423" spans="1:14" hidden="1">
      <c r="A2423" s="224"/>
      <c r="B2423" s="226"/>
      <c r="C2423" s="224" t="s">
        <v>2812</v>
      </c>
      <c r="D2423" s="265"/>
      <c r="E2423" s="400"/>
      <c r="F2423" s="265"/>
      <c r="G2423" s="226"/>
    </row>
    <row r="2424" spans="1:14" hidden="1">
      <c r="A2424" s="267"/>
      <c r="B2424" s="872" t="s">
        <v>2443</v>
      </c>
      <c r="C2424" s="874" t="s">
        <v>2813</v>
      </c>
      <c r="D2424" s="213">
        <v>30</v>
      </c>
      <c r="G2424" s="399"/>
      <c r="H2424" s="876" t="str">
        <f>C2314</f>
        <v>&lt; 30</v>
      </c>
    </row>
    <row r="2425" spans="1:14" hidden="1">
      <c r="A2425" s="267"/>
      <c r="B2425" s="872" t="s">
        <v>946</v>
      </c>
      <c r="C2425" s="874" t="s">
        <v>2813</v>
      </c>
      <c r="D2425" s="213">
        <v>50</v>
      </c>
      <c r="G2425" s="399"/>
      <c r="H2425" s="876" t="str">
        <f t="shared" ref="H2425:H2432" si="283">C2315</f>
        <v>&lt; 50</v>
      </c>
    </row>
    <row r="2426" spans="1:14" hidden="1">
      <c r="A2426" s="267"/>
      <c r="B2426" s="872" t="s">
        <v>1668</v>
      </c>
      <c r="C2426" s="874" t="s">
        <v>2813</v>
      </c>
      <c r="D2426" s="213">
        <v>75</v>
      </c>
      <c r="G2426" s="399"/>
      <c r="H2426" s="876" t="str">
        <f t="shared" si="283"/>
        <v>&lt; 75</v>
      </c>
    </row>
    <row r="2427" spans="1:14" hidden="1">
      <c r="A2427" s="267"/>
      <c r="B2427" s="872" t="s">
        <v>1670</v>
      </c>
      <c r="C2427" s="874" t="s">
        <v>2813</v>
      </c>
      <c r="D2427" s="213">
        <v>100</v>
      </c>
      <c r="G2427" s="399"/>
      <c r="H2427" s="876" t="str">
        <f t="shared" si="283"/>
        <v>&lt; 100</v>
      </c>
    </row>
    <row r="2428" spans="1:14" hidden="1">
      <c r="A2428" s="267"/>
      <c r="B2428" s="872" t="s">
        <v>333</v>
      </c>
      <c r="C2428" s="874" t="s">
        <v>2813</v>
      </c>
      <c r="D2428" s="213">
        <v>130</v>
      </c>
      <c r="G2428" s="399"/>
      <c r="H2428" s="876" t="str">
        <f t="shared" si="283"/>
        <v>&lt; 130</v>
      </c>
    </row>
    <row r="2429" spans="1:14" hidden="1">
      <c r="A2429" s="267"/>
      <c r="B2429" s="872" t="s">
        <v>2444</v>
      </c>
      <c r="C2429" s="874" t="s">
        <v>2813</v>
      </c>
      <c r="D2429" s="213">
        <v>160</v>
      </c>
      <c r="G2429" s="399"/>
      <c r="H2429" s="876" t="str">
        <f t="shared" si="283"/>
        <v>&lt; 160</v>
      </c>
    </row>
    <row r="2430" spans="1:14" hidden="1">
      <c r="A2430" s="267"/>
      <c r="B2430" s="872" t="s">
        <v>2445</v>
      </c>
      <c r="C2430" s="874" t="s">
        <v>2813</v>
      </c>
      <c r="D2430" s="213">
        <v>200</v>
      </c>
      <c r="G2430" s="399"/>
      <c r="H2430" s="876" t="str">
        <f t="shared" si="283"/>
        <v>&lt; 200</v>
      </c>
    </row>
    <row r="2431" spans="1:14" hidden="1">
      <c r="A2431" s="267"/>
      <c r="B2431" s="872" t="s">
        <v>339</v>
      </c>
      <c r="C2431" s="874" t="s">
        <v>2813</v>
      </c>
      <c r="D2431" s="213">
        <v>250</v>
      </c>
      <c r="G2431" s="399"/>
      <c r="H2431" s="876" t="str">
        <f t="shared" si="283"/>
        <v>&lt; 250</v>
      </c>
    </row>
    <row r="2432" spans="1:14" hidden="1">
      <c r="A2432" s="224"/>
      <c r="B2432" s="873" t="s">
        <v>2446</v>
      </c>
      <c r="C2432" s="875" t="s">
        <v>2814</v>
      </c>
      <c r="D2432" s="265">
        <v>250</v>
      </c>
      <c r="E2432" s="400"/>
      <c r="F2432" s="265"/>
      <c r="G2432" s="226"/>
      <c r="H2432" s="876" t="str">
        <f t="shared" si="283"/>
        <v>&gt;= 250</v>
      </c>
    </row>
    <row r="2433" spans="1:1">
      <c r="A2433" s="754"/>
    </row>
    <row r="2434" spans="1:1">
      <c r="A2434" s="754"/>
    </row>
    <row r="2435" spans="1:1">
      <c r="A2435" s="754"/>
    </row>
    <row r="2436" spans="1:1">
      <c r="A2436" s="754"/>
    </row>
    <row r="2437" spans="1:1">
      <c r="A2437" s="754"/>
    </row>
    <row r="2438" spans="1:1">
      <c r="A2438" s="754"/>
    </row>
    <row r="2439" spans="1:1">
      <c r="A2439" s="754"/>
    </row>
    <row r="2440" spans="1:1">
      <c r="A2440" s="754"/>
    </row>
    <row r="2441" spans="1:1">
      <c r="A2441" s="754"/>
    </row>
    <row r="2442" spans="1:1">
      <c r="A2442" s="754"/>
    </row>
  </sheetData>
  <sheetProtection algorithmName="SHA-512" hashValue="jLEz2FKooa7QYZJ0OE9qtPZ3IxMVpuF38JhAR8cAF1mJ+vULXT/RB4mMDJkllvZL4VpsJGedeZSsfVs3ODuAnw==" saltValue="nmMpcj6B8sSMrFzsAouebw==" spinCount="100000" sheet="1" objects="1" scenarios="1"/>
  <mergeCells count="818">
    <mergeCell ref="A2227:A2230"/>
    <mergeCell ref="C2231:N2231"/>
    <mergeCell ref="A2196:B2196"/>
    <mergeCell ref="C2196:N2196"/>
    <mergeCell ref="A2199:A2202"/>
    <mergeCell ref="A2203:A2206"/>
    <mergeCell ref="A2207:A2210"/>
    <mergeCell ref="A2211:A2214"/>
    <mergeCell ref="A2215:A2218"/>
    <mergeCell ref="A2219:A2222"/>
    <mergeCell ref="A2223:A2226"/>
    <mergeCell ref="A2158:A2161"/>
    <mergeCell ref="A2162:A2165"/>
    <mergeCell ref="A2166:A2169"/>
    <mergeCell ref="A2170:A2173"/>
    <mergeCell ref="A2174:A2177"/>
    <mergeCell ref="A2178:A2181"/>
    <mergeCell ref="A2182:A2185"/>
    <mergeCell ref="A2186:A2189"/>
    <mergeCell ref="C2190:N2190"/>
    <mergeCell ref="A2121:A2124"/>
    <mergeCell ref="A2125:A2128"/>
    <mergeCell ref="A2129:A2132"/>
    <mergeCell ref="A2133:A2136"/>
    <mergeCell ref="A2137:A2140"/>
    <mergeCell ref="A2141:A2144"/>
    <mergeCell ref="A2145:A2148"/>
    <mergeCell ref="C2149:N2149"/>
    <mergeCell ref="A2155:B2155"/>
    <mergeCell ref="C2155:N2155"/>
    <mergeCell ref="A2088:A2091"/>
    <mergeCell ref="A2092:A2095"/>
    <mergeCell ref="A2096:A2099"/>
    <mergeCell ref="A2100:A2103"/>
    <mergeCell ref="A2104:A2107"/>
    <mergeCell ref="C2108:N2108"/>
    <mergeCell ref="A2114:B2114"/>
    <mergeCell ref="C2114:N2114"/>
    <mergeCell ref="A2117:A2120"/>
    <mergeCell ref="A2055:A2058"/>
    <mergeCell ref="A2059:A2062"/>
    <mergeCell ref="A2063:A2066"/>
    <mergeCell ref="C2067:N2067"/>
    <mergeCell ref="A2073:B2073"/>
    <mergeCell ref="C2073:N2073"/>
    <mergeCell ref="A2076:A2079"/>
    <mergeCell ref="A2080:A2083"/>
    <mergeCell ref="A2084:A2087"/>
    <mergeCell ref="A2022:A2025"/>
    <mergeCell ref="C2026:N2026"/>
    <mergeCell ref="A2032:B2032"/>
    <mergeCell ref="C2032:N2032"/>
    <mergeCell ref="A2035:A2038"/>
    <mergeCell ref="A2039:A2042"/>
    <mergeCell ref="A2043:A2046"/>
    <mergeCell ref="A2047:A2050"/>
    <mergeCell ref="A2051:A2054"/>
    <mergeCell ref="A1991:B1991"/>
    <mergeCell ref="C1991:N1991"/>
    <mergeCell ref="A1994:A1997"/>
    <mergeCell ref="A1998:A2001"/>
    <mergeCell ref="A2002:A2005"/>
    <mergeCell ref="A2006:A2009"/>
    <mergeCell ref="A2010:A2013"/>
    <mergeCell ref="A2014:A2017"/>
    <mergeCell ref="A2018:A2021"/>
    <mergeCell ref="A1953:A1956"/>
    <mergeCell ref="A1957:A1960"/>
    <mergeCell ref="A1961:A1964"/>
    <mergeCell ref="A1965:A1968"/>
    <mergeCell ref="A1969:A1972"/>
    <mergeCell ref="A1973:A1976"/>
    <mergeCell ref="A1977:A1980"/>
    <mergeCell ref="A1981:A1984"/>
    <mergeCell ref="C1985:N1985"/>
    <mergeCell ref="A1916:A1919"/>
    <mergeCell ref="A1920:A1923"/>
    <mergeCell ref="A1924:A1927"/>
    <mergeCell ref="A1928:A1931"/>
    <mergeCell ref="A1932:A1935"/>
    <mergeCell ref="A1936:A1939"/>
    <mergeCell ref="A1940:A1943"/>
    <mergeCell ref="C1944:N1944"/>
    <mergeCell ref="A1950:B1950"/>
    <mergeCell ref="C1950:N1950"/>
    <mergeCell ref="A1883:A1886"/>
    <mergeCell ref="A1887:A1890"/>
    <mergeCell ref="A1891:A1894"/>
    <mergeCell ref="A1895:A1898"/>
    <mergeCell ref="A1899:A1902"/>
    <mergeCell ref="C1903:N1903"/>
    <mergeCell ref="A1909:B1909"/>
    <mergeCell ref="C1909:N1909"/>
    <mergeCell ref="A1912:A1915"/>
    <mergeCell ref="A1850:A1853"/>
    <mergeCell ref="A1854:A1857"/>
    <mergeCell ref="A1858:A1861"/>
    <mergeCell ref="C1862:N1862"/>
    <mergeCell ref="A1868:B1868"/>
    <mergeCell ref="C1868:N1868"/>
    <mergeCell ref="A1871:A1874"/>
    <mergeCell ref="A1875:A1878"/>
    <mergeCell ref="A1879:A1882"/>
    <mergeCell ref="A1817:A1820"/>
    <mergeCell ref="C1821:N1821"/>
    <mergeCell ref="A1827:B1827"/>
    <mergeCell ref="C1827:N1827"/>
    <mergeCell ref="A1830:A1833"/>
    <mergeCell ref="A1834:A1837"/>
    <mergeCell ref="A1838:A1841"/>
    <mergeCell ref="A1842:A1845"/>
    <mergeCell ref="A1846:A1849"/>
    <mergeCell ref="A1786:B1786"/>
    <mergeCell ref="C1786:N1786"/>
    <mergeCell ref="A1789:A1792"/>
    <mergeCell ref="A1793:A1796"/>
    <mergeCell ref="A1797:A1800"/>
    <mergeCell ref="A1801:A1804"/>
    <mergeCell ref="A1805:A1808"/>
    <mergeCell ref="A1809:A1812"/>
    <mergeCell ref="A1813:A1816"/>
    <mergeCell ref="A1748:A1751"/>
    <mergeCell ref="A1752:A1755"/>
    <mergeCell ref="A1756:A1759"/>
    <mergeCell ref="A1760:A1763"/>
    <mergeCell ref="A1764:A1767"/>
    <mergeCell ref="A1768:A1771"/>
    <mergeCell ref="A1772:A1775"/>
    <mergeCell ref="A1776:A1779"/>
    <mergeCell ref="C1780:N1780"/>
    <mergeCell ref="A1711:A1714"/>
    <mergeCell ref="A1715:A1718"/>
    <mergeCell ref="A1719:A1722"/>
    <mergeCell ref="A1723:A1726"/>
    <mergeCell ref="A1727:A1730"/>
    <mergeCell ref="A1731:A1734"/>
    <mergeCell ref="A1735:A1738"/>
    <mergeCell ref="C1739:N1739"/>
    <mergeCell ref="A1745:B1745"/>
    <mergeCell ref="C1745:N1745"/>
    <mergeCell ref="A1678:A1681"/>
    <mergeCell ref="A1682:A1685"/>
    <mergeCell ref="A1686:A1689"/>
    <mergeCell ref="A1690:A1693"/>
    <mergeCell ref="A1694:A1697"/>
    <mergeCell ref="C1698:N1698"/>
    <mergeCell ref="A1704:B1704"/>
    <mergeCell ref="C1704:N1704"/>
    <mergeCell ref="A1707:A1710"/>
    <mergeCell ref="A1645:A1648"/>
    <mergeCell ref="A1649:A1652"/>
    <mergeCell ref="A1653:A1656"/>
    <mergeCell ref="C1657:N1657"/>
    <mergeCell ref="A1663:B1663"/>
    <mergeCell ref="C1663:N1663"/>
    <mergeCell ref="A1666:A1669"/>
    <mergeCell ref="A1670:A1673"/>
    <mergeCell ref="A1674:A1677"/>
    <mergeCell ref="D2382:F2382"/>
    <mergeCell ref="D2383:F2383"/>
    <mergeCell ref="D2384:F2384"/>
    <mergeCell ref="D2385:F2385"/>
    <mergeCell ref="D2386:F2386"/>
    <mergeCell ref="D2387:F2387"/>
    <mergeCell ref="I2387:L2387"/>
    <mergeCell ref="D2414:F2414"/>
    <mergeCell ref="D2415:F2415"/>
    <mergeCell ref="G2411:H2411"/>
    <mergeCell ref="G2387:H2387"/>
    <mergeCell ref="B2413:C2415"/>
    <mergeCell ref="B2416:C2418"/>
    <mergeCell ref="D2417:F2417"/>
    <mergeCell ref="D2418:F2418"/>
    <mergeCell ref="D2406:F2406"/>
    <mergeCell ref="D2407:F2407"/>
    <mergeCell ref="D2408:F2408"/>
    <mergeCell ref="D2409:F2409"/>
    <mergeCell ref="D2410:F2410"/>
    <mergeCell ref="D2412:F2412"/>
    <mergeCell ref="D2411:F2411"/>
    <mergeCell ref="K969:L969"/>
    <mergeCell ref="F1043:G1043"/>
    <mergeCell ref="F1044:G1044"/>
    <mergeCell ref="D1049:E1049"/>
    <mergeCell ref="F1049:G1049"/>
    <mergeCell ref="H1049:I1049"/>
    <mergeCell ref="J1049:K1049"/>
    <mergeCell ref="L1049:M1049"/>
    <mergeCell ref="B1047:M1047"/>
    <mergeCell ref="B1048:M1048"/>
    <mergeCell ref="B1031:D1031"/>
    <mergeCell ref="E1031:F1031"/>
    <mergeCell ref="B1026:D1026"/>
    <mergeCell ref="E1026:F1026"/>
    <mergeCell ref="B1027:D1027"/>
    <mergeCell ref="E1027:F1027"/>
    <mergeCell ref="B1028:D1028"/>
    <mergeCell ref="E1028:F1028"/>
    <mergeCell ref="B1022:F1022"/>
    <mergeCell ref="B1023:D1023"/>
    <mergeCell ref="E1023:F1023"/>
    <mergeCell ref="B1024:D1024"/>
    <mergeCell ref="F1037:I1037"/>
    <mergeCell ref="F1038:G1038"/>
    <mergeCell ref="A41:E41"/>
    <mergeCell ref="A42:E42"/>
    <mergeCell ref="A43:E43"/>
    <mergeCell ref="A44:E44"/>
    <mergeCell ref="A50:E50"/>
    <mergeCell ref="A51:E51"/>
    <mergeCell ref="A55:E55"/>
    <mergeCell ref="B674:C675"/>
    <mergeCell ref="B679:C680"/>
    <mergeCell ref="A45:E45"/>
    <mergeCell ref="A46:E46"/>
    <mergeCell ref="A47:E47"/>
    <mergeCell ref="A48:E48"/>
    <mergeCell ref="A49:E49"/>
    <mergeCell ref="A52:E52"/>
    <mergeCell ref="A53:E53"/>
    <mergeCell ref="A54:E54"/>
    <mergeCell ref="B340:C346"/>
    <mergeCell ref="B372:C374"/>
    <mergeCell ref="B404:C408"/>
    <mergeCell ref="B1032:D1032"/>
    <mergeCell ref="E1032:F1032"/>
    <mergeCell ref="B1033:D1033"/>
    <mergeCell ref="E1033:F1033"/>
    <mergeCell ref="B1034:D1034"/>
    <mergeCell ref="E1034:F1034"/>
    <mergeCell ref="B1029:D1029"/>
    <mergeCell ref="E1029:F1029"/>
    <mergeCell ref="B1030:D1030"/>
    <mergeCell ref="E1030:F1030"/>
    <mergeCell ref="B1183:F1183"/>
    <mergeCell ref="B1084:N1084"/>
    <mergeCell ref="B1001:I1001"/>
    <mergeCell ref="B1002:E1002"/>
    <mergeCell ref="F1002:I1002"/>
    <mergeCell ref="B1003:C1003"/>
    <mergeCell ref="D1003:E1003"/>
    <mergeCell ref="F1003:G1003"/>
    <mergeCell ref="H1003:I1003"/>
    <mergeCell ref="D1050:E1050"/>
    <mergeCell ref="F1050:G1050"/>
    <mergeCell ref="H1050:I1050"/>
    <mergeCell ref="J1050:K1050"/>
    <mergeCell ref="F1039:G1039"/>
    <mergeCell ref="F1040:G1040"/>
    <mergeCell ref="F1041:G1041"/>
    <mergeCell ref="F1042:G1042"/>
    <mergeCell ref="L1050:M1050"/>
    <mergeCell ref="G1174:H1174"/>
    <mergeCell ref="I1174:J1174"/>
    <mergeCell ref="G1175:H1175"/>
    <mergeCell ref="I1175:J1175"/>
    <mergeCell ref="C1178:D1178"/>
    <mergeCell ref="C1179:D1179"/>
    <mergeCell ref="E1178:F1178"/>
    <mergeCell ref="E1179:F1179"/>
    <mergeCell ref="B1182:F1182"/>
    <mergeCell ref="G1171:H1171"/>
    <mergeCell ref="I1171:J1171"/>
    <mergeCell ref="G1172:H1172"/>
    <mergeCell ref="I1172:J1172"/>
    <mergeCell ref="G1173:H1173"/>
    <mergeCell ref="I1173:J1173"/>
    <mergeCell ref="G1168:H1168"/>
    <mergeCell ref="I1168:J1168"/>
    <mergeCell ref="G1169:H1169"/>
    <mergeCell ref="I1169:J1169"/>
    <mergeCell ref="G1170:H1170"/>
    <mergeCell ref="I1170:J1170"/>
    <mergeCell ref="G1165:H1165"/>
    <mergeCell ref="I1165:J1165"/>
    <mergeCell ref="G1166:H1166"/>
    <mergeCell ref="I1166:J1166"/>
    <mergeCell ref="G1167:H1167"/>
    <mergeCell ref="I1167:J1167"/>
    <mergeCell ref="D1159:E1159"/>
    <mergeCell ref="F1159:G1159"/>
    <mergeCell ref="G1163:H1163"/>
    <mergeCell ref="I1163:J1163"/>
    <mergeCell ref="G1164:H1164"/>
    <mergeCell ref="I1164:J1164"/>
    <mergeCell ref="H1136:I1136"/>
    <mergeCell ref="D1157:E1157"/>
    <mergeCell ref="F1157:G1157"/>
    <mergeCell ref="D1158:E1158"/>
    <mergeCell ref="F1158:G1158"/>
    <mergeCell ref="I1127:J1127"/>
    <mergeCell ref="I1128:J1128"/>
    <mergeCell ref="I1129:J1129"/>
    <mergeCell ref="I1130:J1130"/>
    <mergeCell ref="H1135:I1135"/>
    <mergeCell ref="B1135:G1135"/>
    <mergeCell ref="B1136:G1136"/>
    <mergeCell ref="I1121:J1121"/>
    <mergeCell ref="I1122:J1122"/>
    <mergeCell ref="I1123:J1123"/>
    <mergeCell ref="I1124:J1124"/>
    <mergeCell ref="I1125:J1125"/>
    <mergeCell ref="I1126:J1126"/>
    <mergeCell ref="G1104:H1104"/>
    <mergeCell ref="I1104:J1104"/>
    <mergeCell ref="I1117:J1117"/>
    <mergeCell ref="I1118:J1118"/>
    <mergeCell ref="I1119:J1119"/>
    <mergeCell ref="I1120:J1120"/>
    <mergeCell ref="G1101:H1101"/>
    <mergeCell ref="I1101:J1101"/>
    <mergeCell ref="G1102:H1102"/>
    <mergeCell ref="I1102:J1102"/>
    <mergeCell ref="G1103:H1103"/>
    <mergeCell ref="I1103:J1103"/>
    <mergeCell ref="B1097:D1097"/>
    <mergeCell ref="E1097:F1097"/>
    <mergeCell ref="G1097:H1097"/>
    <mergeCell ref="I1097:J1097"/>
    <mergeCell ref="K1097:L1097"/>
    <mergeCell ref="M1097:N1097"/>
    <mergeCell ref="B1096:D1096"/>
    <mergeCell ref="E1096:F1096"/>
    <mergeCell ref="G1096:H1096"/>
    <mergeCell ref="I1096:J1096"/>
    <mergeCell ref="K1096:L1096"/>
    <mergeCell ref="M1096:N1096"/>
    <mergeCell ref="B1095:D1095"/>
    <mergeCell ref="E1095:F1095"/>
    <mergeCell ref="G1095:H1095"/>
    <mergeCell ref="I1095:J1095"/>
    <mergeCell ref="K1095:L1095"/>
    <mergeCell ref="M1095:N1095"/>
    <mergeCell ref="B1094:D1094"/>
    <mergeCell ref="E1094:F1094"/>
    <mergeCell ref="G1094:H1094"/>
    <mergeCell ref="I1094:J1094"/>
    <mergeCell ref="K1094:L1094"/>
    <mergeCell ref="M1094:N1094"/>
    <mergeCell ref="B1093:D1093"/>
    <mergeCell ref="E1093:F1093"/>
    <mergeCell ref="G1093:H1093"/>
    <mergeCell ref="I1093:J1093"/>
    <mergeCell ref="K1093:L1093"/>
    <mergeCell ref="M1093:N1093"/>
    <mergeCell ref="B1092:D1092"/>
    <mergeCell ref="E1092:F1092"/>
    <mergeCell ref="G1092:H1092"/>
    <mergeCell ref="I1092:J1092"/>
    <mergeCell ref="K1092:L1092"/>
    <mergeCell ref="M1092:N1092"/>
    <mergeCell ref="B1091:D1091"/>
    <mergeCell ref="E1091:F1091"/>
    <mergeCell ref="G1091:H1091"/>
    <mergeCell ref="I1091:J1091"/>
    <mergeCell ref="K1091:L1091"/>
    <mergeCell ref="M1091:N1091"/>
    <mergeCell ref="B1090:D1090"/>
    <mergeCell ref="E1090:F1090"/>
    <mergeCell ref="G1090:H1090"/>
    <mergeCell ref="I1090:J1090"/>
    <mergeCell ref="K1090:L1090"/>
    <mergeCell ref="M1090:N1090"/>
    <mergeCell ref="B1089:D1089"/>
    <mergeCell ref="E1089:F1089"/>
    <mergeCell ref="G1089:H1089"/>
    <mergeCell ref="I1089:J1089"/>
    <mergeCell ref="K1089:L1089"/>
    <mergeCell ref="M1089:N1089"/>
    <mergeCell ref="B1088:D1088"/>
    <mergeCell ref="E1088:F1088"/>
    <mergeCell ref="G1088:H1088"/>
    <mergeCell ref="I1088:J1088"/>
    <mergeCell ref="K1088:L1088"/>
    <mergeCell ref="M1088:N1088"/>
    <mergeCell ref="B1087:D1087"/>
    <mergeCell ref="E1087:F1087"/>
    <mergeCell ref="G1087:H1087"/>
    <mergeCell ref="I1087:J1087"/>
    <mergeCell ref="K1087:L1087"/>
    <mergeCell ref="M1087:N1087"/>
    <mergeCell ref="B1086:D1086"/>
    <mergeCell ref="E1086:F1086"/>
    <mergeCell ref="G1086:H1086"/>
    <mergeCell ref="I1086:J1086"/>
    <mergeCell ref="K1086:L1086"/>
    <mergeCell ref="M1086:N1086"/>
    <mergeCell ref="B1085:D1085"/>
    <mergeCell ref="E1085:F1085"/>
    <mergeCell ref="G1085:H1085"/>
    <mergeCell ref="I1085:J1085"/>
    <mergeCell ref="K1085:L1085"/>
    <mergeCell ref="M1085:N1085"/>
    <mergeCell ref="E1024:F1024"/>
    <mergeCell ref="B1025:D1025"/>
    <mergeCell ref="E1025:F1025"/>
    <mergeCell ref="B1067:C1067"/>
    <mergeCell ref="D1067:E1067"/>
    <mergeCell ref="F1067:G1067"/>
    <mergeCell ref="H1067:I1067"/>
    <mergeCell ref="J1067:K1067"/>
    <mergeCell ref="L1067:M1067"/>
    <mergeCell ref="B1049:C1049"/>
    <mergeCell ref="B1050:C1050"/>
    <mergeCell ref="B1065:M1065"/>
    <mergeCell ref="B1066:C1066"/>
    <mergeCell ref="D1066:E1066"/>
    <mergeCell ref="F1066:G1066"/>
    <mergeCell ref="H1066:I1066"/>
    <mergeCell ref="J1066:K1066"/>
    <mergeCell ref="L1066:M1066"/>
    <mergeCell ref="H1004:I1004"/>
    <mergeCell ref="B1004:C1004"/>
    <mergeCell ref="E997:F997"/>
    <mergeCell ref="B998:D998"/>
    <mergeCell ref="E998:F998"/>
    <mergeCell ref="B994:F994"/>
    <mergeCell ref="B995:F995"/>
    <mergeCell ref="B996:D996"/>
    <mergeCell ref="E996:F996"/>
    <mergeCell ref="D1004:E1004"/>
    <mergeCell ref="F1004:G1004"/>
    <mergeCell ref="G969:H969"/>
    <mergeCell ref="I969:J969"/>
    <mergeCell ref="A858:A862"/>
    <mergeCell ref="A60:A68"/>
    <mergeCell ref="A832:A833"/>
    <mergeCell ref="B997:D997"/>
    <mergeCell ref="A187:A188"/>
    <mergeCell ref="A424:A426"/>
    <mergeCell ref="B511:C512"/>
    <mergeCell ref="B705:C706"/>
    <mergeCell ref="B723:C724"/>
    <mergeCell ref="B556:C557"/>
    <mergeCell ref="B572:C573"/>
    <mergeCell ref="B632:C635"/>
    <mergeCell ref="B653:C656"/>
    <mergeCell ref="B591:C594"/>
    <mergeCell ref="B535:C536"/>
    <mergeCell ref="B469:C470"/>
    <mergeCell ref="B490:C491"/>
    <mergeCell ref="B424:C425"/>
    <mergeCell ref="B247:C252"/>
    <mergeCell ref="B257:C260"/>
    <mergeCell ref="B285:C288"/>
    <mergeCell ref="B313:C315"/>
    <mergeCell ref="H50:I50"/>
    <mergeCell ref="H51:I51"/>
    <mergeCell ref="H52:I52"/>
    <mergeCell ref="H53:I53"/>
    <mergeCell ref="H54:I54"/>
    <mergeCell ref="H55:I55"/>
    <mergeCell ref="H41:I41"/>
    <mergeCell ref="H42:I42"/>
    <mergeCell ref="H43:I43"/>
    <mergeCell ref="H44:I44"/>
    <mergeCell ref="H45:I45"/>
    <mergeCell ref="H46:I46"/>
    <mergeCell ref="H47:I47"/>
    <mergeCell ref="H48:I48"/>
    <mergeCell ref="H49:I49"/>
    <mergeCell ref="A1216:K1216"/>
    <mergeCell ref="A1217:F1217"/>
    <mergeCell ref="A1225:K1225"/>
    <mergeCell ref="A1226:F1226"/>
    <mergeCell ref="A1234:K1234"/>
    <mergeCell ref="A1235:F1235"/>
    <mergeCell ref="E1245:K1245"/>
    <mergeCell ref="H1251:N1251"/>
    <mergeCell ref="G1263:M1263"/>
    <mergeCell ref="E1272:L1272"/>
    <mergeCell ref="E1273:L1273"/>
    <mergeCell ref="D1293:E1293"/>
    <mergeCell ref="D1294:E1294"/>
    <mergeCell ref="D1295:E1295"/>
    <mergeCell ref="D1296:E1296"/>
    <mergeCell ref="E1300:L1300"/>
    <mergeCell ref="E1301:L1301"/>
    <mergeCell ref="E1329:F1329"/>
    <mergeCell ref="E1330:F1330"/>
    <mergeCell ref="E1331:F1331"/>
    <mergeCell ref="E1332:F1332"/>
    <mergeCell ref="E1333:F1333"/>
    <mergeCell ref="E1336:K1336"/>
    <mergeCell ref="B1371:I1371"/>
    <mergeCell ref="B1372:I1372"/>
    <mergeCell ref="B1373:E1373"/>
    <mergeCell ref="F1373:I1373"/>
    <mergeCell ref="B1389:I1389"/>
    <mergeCell ref="B1390:I1390"/>
    <mergeCell ref="B1391:E1391"/>
    <mergeCell ref="F1391:I1391"/>
    <mergeCell ref="B1406:E1406"/>
    <mergeCell ref="F1406:I1406"/>
    <mergeCell ref="B1407:D1407"/>
    <mergeCell ref="F1407:H1407"/>
    <mergeCell ref="B1408:D1408"/>
    <mergeCell ref="F1408:H1408"/>
    <mergeCell ref="C1424:H1424"/>
    <mergeCell ref="C1425:E1425"/>
    <mergeCell ref="F1425:H1425"/>
    <mergeCell ref="C1426:E1426"/>
    <mergeCell ref="F1426:H1426"/>
    <mergeCell ref="B1429:E1429"/>
    <mergeCell ref="F1429:G1429"/>
    <mergeCell ref="B1430:C1430"/>
    <mergeCell ref="D1430:E1430"/>
    <mergeCell ref="F1430:G1430"/>
    <mergeCell ref="B1431:C1431"/>
    <mergeCell ref="D1431:E1431"/>
    <mergeCell ref="F1431:G1431"/>
    <mergeCell ref="F1433:G1433"/>
    <mergeCell ref="F1434:G1434"/>
    <mergeCell ref="F1435:G1435"/>
    <mergeCell ref="F1436:G1436"/>
    <mergeCell ref="F1437:G1437"/>
    <mergeCell ref="F1438:G1438"/>
    <mergeCell ref="F1439:G1439"/>
    <mergeCell ref="F1440:G1440"/>
    <mergeCell ref="F1441:G1441"/>
    <mergeCell ref="F1442:G1442"/>
    <mergeCell ref="F1443:G1443"/>
    <mergeCell ref="D1446:F1446"/>
    <mergeCell ref="G1446:I1446"/>
    <mergeCell ref="D1447:F1447"/>
    <mergeCell ref="G1447:I1447"/>
    <mergeCell ref="B1448:C1448"/>
    <mergeCell ref="B1449:C1449"/>
    <mergeCell ref="B1450:C1450"/>
    <mergeCell ref="B1451:C1451"/>
    <mergeCell ref="B1452:C1452"/>
    <mergeCell ref="B1453:C1453"/>
    <mergeCell ref="B1454:C1454"/>
    <mergeCell ref="B1455:C1455"/>
    <mergeCell ref="B1456:C1456"/>
    <mergeCell ref="B1460:K1460"/>
    <mergeCell ref="L1460:M1460"/>
    <mergeCell ref="B1461:K1461"/>
    <mergeCell ref="L1461:M1461"/>
    <mergeCell ref="C1462:E1462"/>
    <mergeCell ref="F1462:H1462"/>
    <mergeCell ref="I1462:K1462"/>
    <mergeCell ref="C1463:E1463"/>
    <mergeCell ref="F1463:H1463"/>
    <mergeCell ref="I1463:K1463"/>
    <mergeCell ref="C1464:E1464"/>
    <mergeCell ref="F1464:H1464"/>
    <mergeCell ref="I1464:K1464"/>
    <mergeCell ref="C1465:E1465"/>
    <mergeCell ref="F1465:H1465"/>
    <mergeCell ref="I1465:K1465"/>
    <mergeCell ref="L1467:M1467"/>
    <mergeCell ref="L1468:M1468"/>
    <mergeCell ref="L1469:M1469"/>
    <mergeCell ref="L1470:M1470"/>
    <mergeCell ref="L1471:M1471"/>
    <mergeCell ref="L1472:M1472"/>
    <mergeCell ref="L1473:M1473"/>
    <mergeCell ref="L1474:M1474"/>
    <mergeCell ref="L1475:M1475"/>
    <mergeCell ref="L1476:M1476"/>
    <mergeCell ref="L1477:M1477"/>
    <mergeCell ref="B1478:K1478"/>
    <mergeCell ref="L1478:M1478"/>
    <mergeCell ref="L1479:M1479"/>
    <mergeCell ref="L1480:M1480"/>
    <mergeCell ref="L1481:M1481"/>
    <mergeCell ref="L1482:M1482"/>
    <mergeCell ref="L1483:M1483"/>
    <mergeCell ref="L1484:M1484"/>
    <mergeCell ref="A1487:B1487"/>
    <mergeCell ref="C1487:D1487"/>
    <mergeCell ref="E1487:F1487"/>
    <mergeCell ref="G1487:H1487"/>
    <mergeCell ref="A1488:B1488"/>
    <mergeCell ref="C1488:D1488"/>
    <mergeCell ref="E1488:F1488"/>
    <mergeCell ref="G1488:H1488"/>
    <mergeCell ref="A1489:B1489"/>
    <mergeCell ref="C1489:D1489"/>
    <mergeCell ref="E1489:F1489"/>
    <mergeCell ref="G1489:H1489"/>
    <mergeCell ref="A1490:B1490"/>
    <mergeCell ref="C1490:D1490"/>
    <mergeCell ref="E1490:F1490"/>
    <mergeCell ref="G1490:H1490"/>
    <mergeCell ref="A1491:B1491"/>
    <mergeCell ref="C1491:D1491"/>
    <mergeCell ref="E1491:F1491"/>
    <mergeCell ref="G1491:H1491"/>
    <mergeCell ref="A1492:B1492"/>
    <mergeCell ref="C1492:D1492"/>
    <mergeCell ref="E1492:F1492"/>
    <mergeCell ref="G1492:H1492"/>
    <mergeCell ref="A1493:B1493"/>
    <mergeCell ref="C1493:D1493"/>
    <mergeCell ref="E1493:F1493"/>
    <mergeCell ref="G1493:H1493"/>
    <mergeCell ref="A1494:B1494"/>
    <mergeCell ref="C1494:D1494"/>
    <mergeCell ref="E1494:F1494"/>
    <mergeCell ref="G1494:H1494"/>
    <mergeCell ref="A1495:B1495"/>
    <mergeCell ref="C1495:D1495"/>
    <mergeCell ref="E1495:F1495"/>
    <mergeCell ref="G1495:H1495"/>
    <mergeCell ref="A1496:B1496"/>
    <mergeCell ref="C1496:D1496"/>
    <mergeCell ref="E1496:F1496"/>
    <mergeCell ref="G1496:H1496"/>
    <mergeCell ref="A1500:B1500"/>
    <mergeCell ref="C1500:D1500"/>
    <mergeCell ref="E1500:F1500"/>
    <mergeCell ref="A1501:B1501"/>
    <mergeCell ref="C1501:D1501"/>
    <mergeCell ref="E1501:F1501"/>
    <mergeCell ref="A1502:B1502"/>
    <mergeCell ref="C1502:D1502"/>
    <mergeCell ref="E1502:F1502"/>
    <mergeCell ref="A1503:B1503"/>
    <mergeCell ref="C1503:D1503"/>
    <mergeCell ref="E1503:F1503"/>
    <mergeCell ref="A1506:B1506"/>
    <mergeCell ref="C1506:D1506"/>
    <mergeCell ref="E1506:F1506"/>
    <mergeCell ref="G1506:H1506"/>
    <mergeCell ref="A1507:B1507"/>
    <mergeCell ref="C1507:D1507"/>
    <mergeCell ref="E1507:F1507"/>
    <mergeCell ref="G1507:H1507"/>
    <mergeCell ref="A1508:B1508"/>
    <mergeCell ref="C1508:D1508"/>
    <mergeCell ref="E1508:F1508"/>
    <mergeCell ref="G1508:H1508"/>
    <mergeCell ref="B1511:G1511"/>
    <mergeCell ref="B1512:C1512"/>
    <mergeCell ref="D1512:G1512"/>
    <mergeCell ref="B1513:C1513"/>
    <mergeCell ref="D1513:E1513"/>
    <mergeCell ref="F1513:G1513"/>
    <mergeCell ref="B1514:C1514"/>
    <mergeCell ref="D1514:E1514"/>
    <mergeCell ref="F1514:G1514"/>
    <mergeCell ref="B1515:C1515"/>
    <mergeCell ref="D1515:E1515"/>
    <mergeCell ref="F1515:G1515"/>
    <mergeCell ref="B1516:C1516"/>
    <mergeCell ref="D1516:E1516"/>
    <mergeCell ref="F1516:G1516"/>
    <mergeCell ref="B1517:C1517"/>
    <mergeCell ref="D1517:E1517"/>
    <mergeCell ref="F1517:G1517"/>
    <mergeCell ref="B1518:C1518"/>
    <mergeCell ref="D1518:E1518"/>
    <mergeCell ref="F1518:G1518"/>
    <mergeCell ref="B1519:C1519"/>
    <mergeCell ref="D1519:E1519"/>
    <mergeCell ref="F1519:G1519"/>
    <mergeCell ref="B1527:G1527"/>
    <mergeCell ref="B1528:C1528"/>
    <mergeCell ref="D1528:G1528"/>
    <mergeCell ref="B1529:C1529"/>
    <mergeCell ref="D1529:G1529"/>
    <mergeCell ref="B1530:C1530"/>
    <mergeCell ref="D1530:E1530"/>
    <mergeCell ref="F1530:G1530"/>
    <mergeCell ref="B1531:C1531"/>
    <mergeCell ref="D1531:E1531"/>
    <mergeCell ref="F1531:G1531"/>
    <mergeCell ref="B1532:C1532"/>
    <mergeCell ref="D1532:E1532"/>
    <mergeCell ref="F1532:G1532"/>
    <mergeCell ref="B1533:C1533"/>
    <mergeCell ref="D1533:E1533"/>
    <mergeCell ref="F1533:G1533"/>
    <mergeCell ref="B1534:C1534"/>
    <mergeCell ref="D1534:E1534"/>
    <mergeCell ref="F1534:G1534"/>
    <mergeCell ref="B1535:C1535"/>
    <mergeCell ref="D1535:E1535"/>
    <mergeCell ref="F1535:G1535"/>
    <mergeCell ref="B1536:C1536"/>
    <mergeCell ref="D1536:E1536"/>
    <mergeCell ref="F1536:G1536"/>
    <mergeCell ref="G1545:J1545"/>
    <mergeCell ref="G1546:H1546"/>
    <mergeCell ref="I1546:J1546"/>
    <mergeCell ref="G1547:H1547"/>
    <mergeCell ref="I1547:J1547"/>
    <mergeCell ref="G1548:H1548"/>
    <mergeCell ref="I1548:J1548"/>
    <mergeCell ref="G1549:H1549"/>
    <mergeCell ref="I1549:J1549"/>
    <mergeCell ref="G1550:H1550"/>
    <mergeCell ref="I1550:J1550"/>
    <mergeCell ref="G1551:H1551"/>
    <mergeCell ref="I1551:J1551"/>
    <mergeCell ref="G1552:H1552"/>
    <mergeCell ref="I1552:J1552"/>
    <mergeCell ref="G1553:H1553"/>
    <mergeCell ref="I1553:J1553"/>
    <mergeCell ref="G1554:H1554"/>
    <mergeCell ref="I1554:J1554"/>
    <mergeCell ref="G1555:H1555"/>
    <mergeCell ref="I1555:J1555"/>
    <mergeCell ref="G1556:H1556"/>
    <mergeCell ref="I1556:J1556"/>
    <mergeCell ref="G1557:H1557"/>
    <mergeCell ref="I1557:J1557"/>
    <mergeCell ref="G1558:H1558"/>
    <mergeCell ref="I1558:J1558"/>
    <mergeCell ref="G1559:H1559"/>
    <mergeCell ref="I1559:J1559"/>
    <mergeCell ref="B2239:I2239"/>
    <mergeCell ref="B2240:C2240"/>
    <mergeCell ref="B2241:C2241"/>
    <mergeCell ref="A1598:G1600"/>
    <mergeCell ref="D2238:F2238"/>
    <mergeCell ref="D2237:I2237"/>
    <mergeCell ref="B2237:C2237"/>
    <mergeCell ref="D2240:F2240"/>
    <mergeCell ref="D2241:F2241"/>
    <mergeCell ref="G2240:I2240"/>
    <mergeCell ref="G2241:I2241"/>
    <mergeCell ref="A1622:B1622"/>
    <mergeCell ref="C1622:N1622"/>
    <mergeCell ref="A1625:A1628"/>
    <mergeCell ref="A1629:A1632"/>
    <mergeCell ref="A1633:A1636"/>
    <mergeCell ref="A1637:A1640"/>
    <mergeCell ref="A1641:A1644"/>
    <mergeCell ref="G2243:I2243"/>
    <mergeCell ref="G2245:I2245"/>
    <mergeCell ref="G2247:I2247"/>
    <mergeCell ref="B2242:C2242"/>
    <mergeCell ref="B2243:C2243"/>
    <mergeCell ref="B2247:C2247"/>
    <mergeCell ref="D2255:I2255"/>
    <mergeCell ref="D2256:I2256"/>
    <mergeCell ref="B2244:C2244"/>
    <mergeCell ref="D2244:F2244"/>
    <mergeCell ref="B2246:C2246"/>
    <mergeCell ref="D2246:F2246"/>
    <mergeCell ref="B2248:C2248"/>
    <mergeCell ref="D2248:F2248"/>
    <mergeCell ref="D2253:I2253"/>
    <mergeCell ref="D2254:I2254"/>
    <mergeCell ref="D2242:F2242"/>
    <mergeCell ref="D2243:F2243"/>
    <mergeCell ref="D2245:F2245"/>
    <mergeCell ref="D2247:F2247"/>
    <mergeCell ref="G2242:I2242"/>
    <mergeCell ref="B2255:C2255"/>
    <mergeCell ref="B2256:C2256"/>
    <mergeCell ref="D2249:F2249"/>
    <mergeCell ref="A2307:I2307"/>
    <mergeCell ref="A2308:I2308"/>
    <mergeCell ref="A2295:I2295"/>
    <mergeCell ref="A2297:I2297"/>
    <mergeCell ref="A2299:I2299"/>
    <mergeCell ref="A2293:I2293"/>
    <mergeCell ref="A2294:I2294"/>
    <mergeCell ref="A2296:I2296"/>
    <mergeCell ref="A2298:I2298"/>
    <mergeCell ref="A2300:I2300"/>
    <mergeCell ref="A2301:I2301"/>
    <mergeCell ref="A2302:I2302"/>
    <mergeCell ref="A2303:I2303"/>
    <mergeCell ref="A2304:I2304"/>
    <mergeCell ref="A2305:I2305"/>
    <mergeCell ref="A2306:I2306"/>
    <mergeCell ref="B2253:C2253"/>
    <mergeCell ref="A2290:I2290"/>
    <mergeCell ref="A2291:I2291"/>
    <mergeCell ref="A2292:I2292"/>
    <mergeCell ref="A2278:I2278"/>
    <mergeCell ref="A2285:I2285"/>
    <mergeCell ref="A2286:I2286"/>
    <mergeCell ref="A2287:I2287"/>
    <mergeCell ref="A2282:I2282"/>
    <mergeCell ref="A2279:I2279"/>
    <mergeCell ref="A2280:I2280"/>
    <mergeCell ref="A2281:I2281"/>
    <mergeCell ref="A2283:I2283"/>
    <mergeCell ref="A2284:I2284"/>
    <mergeCell ref="B2274:C2274"/>
    <mergeCell ref="B2275:C2275"/>
    <mergeCell ref="D2272:I2272"/>
    <mergeCell ref="D2273:I2273"/>
    <mergeCell ref="D2274:I2274"/>
    <mergeCell ref="D2275:I2275"/>
    <mergeCell ref="B2271:C2271"/>
    <mergeCell ref="D2271:I2271"/>
    <mergeCell ref="B2272:C2272"/>
    <mergeCell ref="B752:C752"/>
    <mergeCell ref="A2267:I2267"/>
    <mergeCell ref="B2273:C2273"/>
    <mergeCell ref="B238:C243"/>
    <mergeCell ref="B89:C92"/>
    <mergeCell ref="B100:C103"/>
    <mergeCell ref="B112:C115"/>
    <mergeCell ref="B155:C158"/>
    <mergeCell ref="B170:C172"/>
    <mergeCell ref="B175:C176"/>
    <mergeCell ref="B198:C199"/>
    <mergeCell ref="B187:C189"/>
    <mergeCell ref="B191:C192"/>
    <mergeCell ref="D2250:F2250"/>
    <mergeCell ref="D2251:F2251"/>
    <mergeCell ref="G2249:I2249"/>
    <mergeCell ref="G2250:I2250"/>
    <mergeCell ref="G2251:I2251"/>
    <mergeCell ref="D2252:I2252"/>
    <mergeCell ref="B2250:C2250"/>
    <mergeCell ref="B2251:C2251"/>
    <mergeCell ref="B2254:C2254"/>
    <mergeCell ref="B2249:C2249"/>
    <mergeCell ref="B2252:C2252"/>
  </mergeCells>
  <phoneticPr fontId="195" type="noConversion"/>
  <hyperlinks>
    <hyperlink ref="B2326" r:id="rId1" xr:uid="{00000000-0004-0000-0700-000000000000}"/>
  </hyperlinks>
  <pageMargins left="0.70866141732283472" right="0.70866141732283472" top="0.78740157480314965" bottom="0.78740157480314965" header="0.31496062992125984" footer="0.31496062992125984"/>
  <pageSetup paperSize="9" orientation="portrait" r:id="rId2"/>
  <headerFooter>
    <oddFooter>&amp;L&amp;G&amp;C&amp;"Arial,Standard"&amp;9A. Maas und K. Höttges
V4.0, April 2023&amp;R&amp;"Arial,Standard"&amp;9Berechnungsblatt GEG 2023, Blatt '&amp;A'
Seite &amp;P von &amp;N</oddFooter>
  </headerFooter>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12290" r:id="rId6" name="Button 2">
              <controlPr defaultSize="0" print="0" autoFill="0" autoPict="0" macro="[0]!ZeilenEinAusBlendenAlle">
                <anchor moveWithCells="1">
                  <from>
                    <xdr:col>9</xdr:col>
                    <xdr:colOff>7620</xdr:colOff>
                    <xdr:row>0</xdr:row>
                    <xdr:rowOff>0</xdr:rowOff>
                  </from>
                  <to>
                    <xdr:col>9</xdr:col>
                    <xdr:colOff>251460</xdr:colOff>
                    <xdr:row>1</xdr:row>
                    <xdr:rowOff>22860</xdr:rowOff>
                  </to>
                </anchor>
              </controlPr>
            </control>
          </mc:Choice>
        </mc:AlternateContent>
        <mc:AlternateContent xmlns:mc="http://schemas.openxmlformats.org/markup-compatibility/2006">
          <mc:Choice Requires="x14">
            <control shapeId="12291" r:id="rId7" name="Button 3">
              <controlPr defaultSize="0" print="0" autoFill="0" autoPict="0" macro="[0]!ZeilenEinAusBlendenEinzeln">
                <anchor moveWithCells="1">
                  <from>
                    <xdr:col>9</xdr:col>
                    <xdr:colOff>7620</xdr:colOff>
                    <xdr:row>782</xdr:row>
                    <xdr:rowOff>7620</xdr:rowOff>
                  </from>
                  <to>
                    <xdr:col>9</xdr:col>
                    <xdr:colOff>251460</xdr:colOff>
                    <xdr:row>925</xdr:row>
                    <xdr:rowOff>30480</xdr:rowOff>
                  </to>
                </anchor>
              </controlPr>
            </control>
          </mc:Choice>
        </mc:AlternateContent>
        <mc:AlternateContent xmlns:mc="http://schemas.openxmlformats.org/markup-compatibility/2006">
          <mc:Choice Requires="x14">
            <control shapeId="12292" r:id="rId8" name="Button 4">
              <controlPr defaultSize="0" print="0" autoFill="0" autoPict="0" macro="[0]!ZeilenEinAusBlendenEinzeln">
                <anchor moveWithCells="1">
                  <from>
                    <xdr:col>9</xdr:col>
                    <xdr:colOff>7620</xdr:colOff>
                    <xdr:row>56</xdr:row>
                    <xdr:rowOff>7620</xdr:rowOff>
                  </from>
                  <to>
                    <xdr:col>9</xdr:col>
                    <xdr:colOff>251460</xdr:colOff>
                    <xdr:row>463</xdr:row>
                    <xdr:rowOff>30480</xdr:rowOff>
                  </to>
                </anchor>
              </controlPr>
            </control>
          </mc:Choice>
        </mc:AlternateContent>
        <mc:AlternateContent xmlns:mc="http://schemas.openxmlformats.org/markup-compatibility/2006">
          <mc:Choice Requires="x14">
            <control shapeId="12304" r:id="rId9" name="Button 16">
              <controlPr defaultSize="0" print="0" autoFill="0" autoPict="0" macro="[0]!ZeilenEinAusBlendenEinzeln">
                <anchor moveWithCells="1">
                  <from>
                    <xdr:col>9</xdr:col>
                    <xdr:colOff>7620</xdr:colOff>
                    <xdr:row>464</xdr:row>
                    <xdr:rowOff>7620</xdr:rowOff>
                  </from>
                  <to>
                    <xdr:col>9</xdr:col>
                    <xdr:colOff>251460</xdr:colOff>
                    <xdr:row>781</xdr:row>
                    <xdr:rowOff>30480</xdr:rowOff>
                  </to>
                </anchor>
              </controlPr>
            </control>
          </mc:Choice>
        </mc:AlternateContent>
        <mc:AlternateContent xmlns:mc="http://schemas.openxmlformats.org/markup-compatibility/2006">
          <mc:Choice Requires="x14">
            <control shapeId="12305" r:id="rId10" name="Button 17">
              <controlPr defaultSize="0" print="0" autoFill="0" autoPict="0" macro="[0]!ZeilenEinAusBlendenEinzeln">
                <anchor moveWithCells="1">
                  <from>
                    <xdr:col>9</xdr:col>
                    <xdr:colOff>7620</xdr:colOff>
                    <xdr:row>926</xdr:row>
                    <xdr:rowOff>7620</xdr:rowOff>
                  </from>
                  <to>
                    <xdr:col>9</xdr:col>
                    <xdr:colOff>251460</xdr:colOff>
                    <xdr:row>938</xdr:row>
                    <xdr:rowOff>30480</xdr:rowOff>
                  </to>
                </anchor>
              </controlPr>
            </control>
          </mc:Choice>
        </mc:AlternateContent>
        <mc:AlternateContent xmlns:mc="http://schemas.openxmlformats.org/markup-compatibility/2006">
          <mc:Choice Requires="x14">
            <control shapeId="12306" r:id="rId11" name="Button 18">
              <controlPr defaultSize="0" print="0" autoFill="0" autoPict="0" macro="[0]!ZeilenEinAusBlendenEinzeln">
                <anchor moveWithCells="1">
                  <from>
                    <xdr:col>9</xdr:col>
                    <xdr:colOff>7620</xdr:colOff>
                    <xdr:row>939</xdr:row>
                    <xdr:rowOff>7620</xdr:rowOff>
                  </from>
                  <to>
                    <xdr:col>9</xdr:col>
                    <xdr:colOff>251460</xdr:colOff>
                    <xdr:row>954</xdr:row>
                    <xdr:rowOff>30480</xdr:rowOff>
                  </to>
                </anchor>
              </controlPr>
            </control>
          </mc:Choice>
        </mc:AlternateContent>
        <mc:AlternateContent xmlns:mc="http://schemas.openxmlformats.org/markup-compatibility/2006">
          <mc:Choice Requires="x14">
            <control shapeId="12307" r:id="rId12" name="Button 19">
              <controlPr defaultSize="0" print="0" autoFill="0" autoPict="0" macro="[0]!ZeilenEinAusBlendenEinzeln">
                <anchor moveWithCells="1">
                  <from>
                    <xdr:col>9</xdr:col>
                    <xdr:colOff>7620</xdr:colOff>
                    <xdr:row>991</xdr:row>
                    <xdr:rowOff>7620</xdr:rowOff>
                  </from>
                  <to>
                    <xdr:col>9</xdr:col>
                    <xdr:colOff>251460</xdr:colOff>
                    <xdr:row>1195</xdr:row>
                    <xdr:rowOff>30480</xdr:rowOff>
                  </to>
                </anchor>
              </controlPr>
            </control>
          </mc:Choice>
        </mc:AlternateContent>
        <mc:AlternateContent xmlns:mc="http://schemas.openxmlformats.org/markup-compatibility/2006">
          <mc:Choice Requires="x14">
            <control shapeId="12310" r:id="rId13" name="Button 22">
              <controlPr defaultSize="0" print="0" autoFill="0" autoPict="0" macro="[0]!ZeilenEinAusBlendenEinzeln">
                <anchor moveWithCells="1">
                  <from>
                    <xdr:col>9</xdr:col>
                    <xdr:colOff>7620</xdr:colOff>
                    <xdr:row>37</xdr:row>
                    <xdr:rowOff>7620</xdr:rowOff>
                  </from>
                  <to>
                    <xdr:col>9</xdr:col>
                    <xdr:colOff>251460</xdr:colOff>
                    <xdr:row>55</xdr:row>
                    <xdr:rowOff>30480</xdr:rowOff>
                  </to>
                </anchor>
              </controlPr>
            </control>
          </mc:Choice>
        </mc:AlternateContent>
        <mc:AlternateContent xmlns:mc="http://schemas.openxmlformats.org/markup-compatibility/2006">
          <mc:Choice Requires="x14">
            <control shapeId="12311" r:id="rId14" name="Button 23">
              <controlPr defaultSize="0" print="0" autoFill="0" autoPict="0" macro="[0]!ZeilenEinAusBlendenEinzeln">
                <anchor moveWithCells="1">
                  <from>
                    <xdr:col>9</xdr:col>
                    <xdr:colOff>7620</xdr:colOff>
                    <xdr:row>1568</xdr:row>
                    <xdr:rowOff>7620</xdr:rowOff>
                  </from>
                  <to>
                    <xdr:col>9</xdr:col>
                    <xdr:colOff>251460</xdr:colOff>
                    <xdr:row>1600</xdr:row>
                    <xdr:rowOff>30480</xdr:rowOff>
                  </to>
                </anchor>
              </controlPr>
            </control>
          </mc:Choice>
        </mc:AlternateContent>
        <mc:AlternateContent xmlns:mc="http://schemas.openxmlformats.org/markup-compatibility/2006">
          <mc:Choice Requires="x14">
            <control shapeId="12313" r:id="rId15" name="Button 25">
              <controlPr defaultSize="0" print="0" autoFill="0" autoPict="0" macro="[0]!ZeilenEinAusBlendenEinzeln">
                <anchor moveWithCells="1">
                  <from>
                    <xdr:col>9</xdr:col>
                    <xdr:colOff>7620</xdr:colOff>
                    <xdr:row>1601</xdr:row>
                    <xdr:rowOff>7620</xdr:rowOff>
                  </from>
                  <to>
                    <xdr:col>9</xdr:col>
                    <xdr:colOff>251460</xdr:colOff>
                    <xdr:row>1616</xdr:row>
                    <xdr:rowOff>30480</xdr:rowOff>
                  </to>
                </anchor>
              </controlPr>
            </control>
          </mc:Choice>
        </mc:AlternateContent>
        <mc:AlternateContent xmlns:mc="http://schemas.openxmlformats.org/markup-compatibility/2006">
          <mc:Choice Requires="x14">
            <control shapeId="12314" r:id="rId16" name="stLilaAnAus">
              <controlPr defaultSize="0" print="0" autoFill="0" autoPict="0" macro="[0]!LilaAnAus">
                <anchor>
                  <from>
                    <xdr:col>13</xdr:col>
                    <xdr:colOff>30480</xdr:colOff>
                    <xdr:row>0</xdr:row>
                    <xdr:rowOff>0</xdr:rowOff>
                  </from>
                  <to>
                    <xdr:col>26</xdr:col>
                    <xdr:colOff>541020</xdr:colOff>
                    <xdr:row>1</xdr:row>
                    <xdr:rowOff>30480</xdr:rowOff>
                  </to>
                </anchor>
              </controlPr>
            </control>
          </mc:Choice>
        </mc:AlternateContent>
        <mc:AlternateContent xmlns:mc="http://schemas.openxmlformats.org/markup-compatibility/2006">
          <mc:Choice Requires="x14">
            <control shapeId="12317" r:id="rId17" name="Button 29">
              <controlPr defaultSize="0" print="0" autoFill="0" autoPict="0" macro="[0]!ZeilenEinAusBlendenEinzeln">
                <anchor moveWithCells="1">
                  <from>
                    <xdr:col>9</xdr:col>
                    <xdr:colOff>7620</xdr:colOff>
                    <xdr:row>1196</xdr:row>
                    <xdr:rowOff>7620</xdr:rowOff>
                  </from>
                  <to>
                    <xdr:col>9</xdr:col>
                    <xdr:colOff>251460</xdr:colOff>
                    <xdr:row>1338</xdr:row>
                    <xdr:rowOff>30480</xdr:rowOff>
                  </to>
                </anchor>
              </controlPr>
            </control>
          </mc:Choice>
        </mc:AlternateContent>
        <mc:AlternateContent xmlns:mc="http://schemas.openxmlformats.org/markup-compatibility/2006">
          <mc:Choice Requires="x14">
            <control shapeId="12318" r:id="rId18" name="Button 30">
              <controlPr defaultSize="0" print="0" autoFill="0" autoPict="0" macro="[0]!ZeilenEinAusBlendenEinzeln">
                <anchor moveWithCells="1">
                  <from>
                    <xdr:col>9</xdr:col>
                    <xdr:colOff>7620</xdr:colOff>
                    <xdr:row>1339</xdr:row>
                    <xdr:rowOff>7620</xdr:rowOff>
                  </from>
                  <to>
                    <xdr:col>9</xdr:col>
                    <xdr:colOff>251460</xdr:colOff>
                    <xdr:row>1541</xdr:row>
                    <xdr:rowOff>30480</xdr:rowOff>
                  </to>
                </anchor>
              </controlPr>
            </control>
          </mc:Choice>
        </mc:AlternateContent>
        <mc:AlternateContent xmlns:mc="http://schemas.openxmlformats.org/markup-compatibility/2006">
          <mc:Choice Requires="x14">
            <control shapeId="12319" r:id="rId19" name="Button 31">
              <controlPr defaultSize="0" print="0" autoFill="0" autoPict="0" macro="[0]!ZeilenEinAusBlendenEinzeln">
                <anchor moveWithCells="1">
                  <from>
                    <xdr:col>9</xdr:col>
                    <xdr:colOff>7620</xdr:colOff>
                    <xdr:row>1542</xdr:row>
                    <xdr:rowOff>7620</xdr:rowOff>
                  </from>
                  <to>
                    <xdr:col>9</xdr:col>
                    <xdr:colOff>251460</xdr:colOff>
                    <xdr:row>1567</xdr:row>
                    <xdr:rowOff>30480</xdr:rowOff>
                  </to>
                </anchor>
              </controlPr>
            </control>
          </mc:Choice>
        </mc:AlternateContent>
        <mc:AlternateContent xmlns:mc="http://schemas.openxmlformats.org/markup-compatibility/2006">
          <mc:Choice Requires="x14">
            <control shapeId="12320" r:id="rId20" name="Button 32">
              <controlPr defaultSize="0" print="0" autoFill="0" autoPict="0" macro="[0]!ZeilenEinAusBlendenEinzeln">
                <anchor moveWithCells="1">
                  <from>
                    <xdr:col>9</xdr:col>
                    <xdr:colOff>7620</xdr:colOff>
                    <xdr:row>2234</xdr:row>
                    <xdr:rowOff>7620</xdr:rowOff>
                  </from>
                  <to>
                    <xdr:col>9</xdr:col>
                    <xdr:colOff>251460</xdr:colOff>
                    <xdr:row>2257</xdr:row>
                    <xdr:rowOff>30480</xdr:rowOff>
                  </to>
                </anchor>
              </controlPr>
            </control>
          </mc:Choice>
        </mc:AlternateContent>
        <mc:AlternateContent xmlns:mc="http://schemas.openxmlformats.org/markup-compatibility/2006">
          <mc:Choice Requires="x14">
            <control shapeId="12321" r:id="rId21" name="Button 33">
              <controlPr defaultSize="0" print="0" autoFill="0" autoPict="0" macro="[0]!ZeilenEinAusBlendenEinzeln">
                <anchor moveWithCells="1">
                  <from>
                    <xdr:col>9</xdr:col>
                    <xdr:colOff>7620</xdr:colOff>
                    <xdr:row>2268</xdr:row>
                    <xdr:rowOff>7620</xdr:rowOff>
                  </from>
                  <to>
                    <xdr:col>9</xdr:col>
                    <xdr:colOff>251460</xdr:colOff>
                    <xdr:row>2269</xdr:row>
                    <xdr:rowOff>0</xdr:rowOff>
                  </to>
                </anchor>
              </controlPr>
            </control>
          </mc:Choice>
        </mc:AlternateContent>
        <mc:AlternateContent xmlns:mc="http://schemas.openxmlformats.org/markup-compatibility/2006">
          <mc:Choice Requires="x14">
            <control shapeId="12322" r:id="rId22" name="Button 34">
              <controlPr defaultSize="0" print="0" autoFill="0" autoPict="0" macro="[0]!ZeilenEinAusBlendenEinzeln">
                <anchor moveWithCells="1">
                  <from>
                    <xdr:col>9</xdr:col>
                    <xdr:colOff>7620</xdr:colOff>
                    <xdr:row>2276</xdr:row>
                    <xdr:rowOff>7620</xdr:rowOff>
                  </from>
                  <to>
                    <xdr:col>9</xdr:col>
                    <xdr:colOff>251460</xdr:colOff>
                    <xdr:row>2277</xdr:row>
                    <xdr:rowOff>0</xdr:rowOff>
                  </to>
                </anchor>
              </controlPr>
            </control>
          </mc:Choice>
        </mc:AlternateContent>
        <mc:AlternateContent xmlns:mc="http://schemas.openxmlformats.org/markup-compatibility/2006">
          <mc:Choice Requires="x14">
            <control shapeId="12323" r:id="rId23" name="Button 35">
              <controlPr defaultSize="0" print="0" autoFill="0" autoPict="0" macro="[0]!ZeilenEinAusBlendenEinzeln">
                <anchor moveWithCells="1">
                  <from>
                    <xdr:col>9</xdr:col>
                    <xdr:colOff>7620</xdr:colOff>
                    <xdr:row>2288</xdr:row>
                    <xdr:rowOff>7620</xdr:rowOff>
                  </from>
                  <to>
                    <xdr:col>9</xdr:col>
                    <xdr:colOff>251460</xdr:colOff>
                    <xdr:row>2289</xdr:row>
                    <xdr:rowOff>0</xdr:rowOff>
                  </to>
                </anchor>
              </controlPr>
            </control>
          </mc:Choice>
        </mc:AlternateContent>
        <mc:AlternateContent xmlns:mc="http://schemas.openxmlformats.org/markup-compatibility/2006">
          <mc:Choice Requires="x14">
            <control shapeId="12324" r:id="rId24" name="Button 36">
              <controlPr defaultSize="0" print="0" autoFill="0" autoPict="0" macro="[0]!ZeilenEinAusBlendenEinzeln">
                <anchor moveWithCells="1">
                  <from>
                    <xdr:col>9</xdr:col>
                    <xdr:colOff>7620</xdr:colOff>
                    <xdr:row>2258</xdr:row>
                    <xdr:rowOff>7620</xdr:rowOff>
                  </from>
                  <to>
                    <xdr:col>9</xdr:col>
                    <xdr:colOff>251460</xdr:colOff>
                    <xdr:row>2259</xdr:row>
                    <xdr:rowOff>0</xdr:rowOff>
                  </to>
                </anchor>
              </controlPr>
            </control>
          </mc:Choice>
        </mc:AlternateContent>
        <mc:AlternateContent xmlns:mc="http://schemas.openxmlformats.org/markup-compatibility/2006">
          <mc:Choice Requires="x14">
            <control shapeId="12325" r:id="rId25" name="Button 37">
              <controlPr defaultSize="0" print="0" autoFill="0" autoPict="0" macro="[0]!ZeilenEinAusBlendenEinzeln">
                <anchor moveWithCells="1">
                  <from>
                    <xdr:col>9</xdr:col>
                    <xdr:colOff>7620</xdr:colOff>
                    <xdr:row>2310</xdr:row>
                    <xdr:rowOff>7620</xdr:rowOff>
                  </from>
                  <to>
                    <xdr:col>9</xdr:col>
                    <xdr:colOff>251460</xdr:colOff>
                    <xdr:row>2311</xdr:row>
                    <xdr:rowOff>0</xdr:rowOff>
                  </to>
                </anchor>
              </controlPr>
            </control>
          </mc:Choice>
        </mc:AlternateContent>
        <mc:AlternateContent xmlns:mc="http://schemas.openxmlformats.org/markup-compatibility/2006">
          <mc:Choice Requires="x14">
            <control shapeId="12326" r:id="rId26" name="Button 38">
              <controlPr defaultSize="0" print="0" autoFill="0" autoPict="0" macro="[0]!ZeilenEinAusBlendenEinzeln">
                <anchor moveWithCells="1">
                  <from>
                    <xdr:col>9</xdr:col>
                    <xdr:colOff>7620</xdr:colOff>
                    <xdr:row>955</xdr:row>
                    <xdr:rowOff>7620</xdr:rowOff>
                  </from>
                  <to>
                    <xdr:col>9</xdr:col>
                    <xdr:colOff>251460</xdr:colOff>
                    <xdr:row>990</xdr:row>
                    <xdr:rowOff>30480</xdr:rowOff>
                  </to>
                </anchor>
              </controlPr>
            </control>
          </mc:Choice>
        </mc:AlternateContent>
        <mc:AlternateContent xmlns:mc="http://schemas.openxmlformats.org/markup-compatibility/2006">
          <mc:Choice Requires="x14">
            <control shapeId="12327" r:id="rId27" name="Button 39">
              <controlPr defaultSize="0" print="0" autoFill="0" autoPict="0" macro="[0]!ZeilenEinAusBlendenEinzeln">
                <anchor moveWithCells="1">
                  <from>
                    <xdr:col>9</xdr:col>
                    <xdr:colOff>7620</xdr:colOff>
                    <xdr:row>2323</xdr:row>
                    <xdr:rowOff>7620</xdr:rowOff>
                  </from>
                  <to>
                    <xdr:col>9</xdr:col>
                    <xdr:colOff>251460</xdr:colOff>
                    <xdr:row>2324</xdr:row>
                    <xdr:rowOff>0</xdr:rowOff>
                  </to>
                </anchor>
              </controlPr>
            </control>
          </mc:Choice>
        </mc:AlternateContent>
        <mc:AlternateContent xmlns:mc="http://schemas.openxmlformats.org/markup-compatibility/2006">
          <mc:Choice Requires="x14">
            <control shapeId="12329" r:id="rId28" name="Button 41">
              <controlPr defaultSize="0" print="0" autoFill="0" autoPict="0" macro="[0]!ZeilenEinAusBlendenEinzeln">
                <anchor moveWithCells="1">
                  <from>
                    <xdr:col>9</xdr:col>
                    <xdr:colOff>7620</xdr:colOff>
                    <xdr:row>2368</xdr:row>
                    <xdr:rowOff>7620</xdr:rowOff>
                  </from>
                  <to>
                    <xdr:col>9</xdr:col>
                    <xdr:colOff>251460</xdr:colOff>
                    <xdr:row>2369</xdr:row>
                    <xdr:rowOff>0</xdr:rowOff>
                  </to>
                </anchor>
              </controlPr>
            </control>
          </mc:Choice>
        </mc:AlternateContent>
        <mc:AlternateContent xmlns:mc="http://schemas.openxmlformats.org/markup-compatibility/2006">
          <mc:Choice Requires="x14">
            <control shapeId="12330" r:id="rId29" name="Button 42">
              <controlPr defaultSize="0" print="0" autoFill="0" autoPict="0" macro="[0]!ZeilenEinAusBlendenEinzeln">
                <anchor moveWithCells="1">
                  <from>
                    <xdr:col>9</xdr:col>
                    <xdr:colOff>7620</xdr:colOff>
                    <xdr:row>2389</xdr:row>
                    <xdr:rowOff>7620</xdr:rowOff>
                  </from>
                  <to>
                    <xdr:col>9</xdr:col>
                    <xdr:colOff>251460</xdr:colOff>
                    <xdr:row>2390</xdr:row>
                    <xdr:rowOff>0</xdr:rowOff>
                  </to>
                </anchor>
              </controlPr>
            </control>
          </mc:Choice>
        </mc:AlternateContent>
        <mc:AlternateContent xmlns:mc="http://schemas.openxmlformats.org/markup-compatibility/2006">
          <mc:Choice Requires="x14">
            <control shapeId="12331" r:id="rId30" name="Button 43">
              <controlPr defaultSize="0" print="0" autoFill="0" autoPict="0" macro="[0]!ZeilenEinAusBlendenEinzeln">
                <anchor moveWithCells="1">
                  <from>
                    <xdr:col>9</xdr:col>
                    <xdr:colOff>7620</xdr:colOff>
                    <xdr:row>2419</xdr:row>
                    <xdr:rowOff>7620</xdr:rowOff>
                  </from>
                  <to>
                    <xdr:col>9</xdr:col>
                    <xdr:colOff>251460</xdr:colOff>
                    <xdr:row>2420</xdr:row>
                    <xdr:rowOff>0</xdr:rowOff>
                  </to>
                </anchor>
              </controlPr>
            </control>
          </mc:Choice>
        </mc:AlternateContent>
        <mc:AlternateContent xmlns:mc="http://schemas.openxmlformats.org/markup-compatibility/2006">
          <mc:Choice Requires="x14">
            <control shapeId="12332" r:id="rId31" name="Button 44">
              <controlPr defaultSize="0" print="0" autoFill="0" autoPict="0" macro="[0]!ZeilenEinAusBlendenEinzeln">
                <anchor moveWithCells="1">
                  <from>
                    <xdr:col>9</xdr:col>
                    <xdr:colOff>7620</xdr:colOff>
                    <xdr:row>1617</xdr:row>
                    <xdr:rowOff>7620</xdr:rowOff>
                  </from>
                  <to>
                    <xdr:col>9</xdr:col>
                    <xdr:colOff>251460</xdr:colOff>
                    <xdr:row>2233</xdr:row>
                    <xdr:rowOff>22860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6">
    <pageSetUpPr fitToPage="1"/>
  </sheetPr>
  <dimension ref="A1:Y315"/>
  <sheetViews>
    <sheetView showGridLines="0" zoomScaleNormal="100" workbookViewId="0">
      <pane ySplit="3" topLeftCell="A4" activePane="bottomLeft" state="frozen"/>
      <selection pane="bottomLeft"/>
    </sheetView>
  </sheetViews>
  <sheetFormatPr baseColWidth="10" defaultColWidth="11.44140625" defaultRowHeight="14.4"/>
  <cols>
    <col min="1" max="1" width="32.88671875" style="960" customWidth="1"/>
    <col min="2" max="2" width="18.6640625" style="972" customWidth="1"/>
    <col min="3" max="4" width="10.5546875" style="960" customWidth="1"/>
    <col min="5" max="8" width="5.88671875" style="960" customWidth="1"/>
    <col min="9" max="9" width="4.109375" style="961" customWidth="1"/>
    <col min="10" max="10" width="3.5546875" style="961" customWidth="1"/>
    <col min="11" max="11" width="2.33203125" style="961" customWidth="1"/>
    <col min="12" max="12" width="36.6640625" style="960" hidden="1" customWidth="1"/>
    <col min="13" max="13" width="15.5546875" style="961" customWidth="1"/>
    <col min="14" max="14" width="7.88671875" style="962" hidden="1" customWidth="1"/>
    <col min="15" max="15" width="5.33203125" style="963" hidden="1" customWidth="1"/>
    <col min="16" max="17" width="4.88671875" style="964" hidden="1" customWidth="1"/>
    <col min="18" max="18" width="4.88671875" style="965" hidden="1" customWidth="1"/>
    <col min="19" max="19" width="5.6640625" style="965" hidden="1" customWidth="1"/>
    <col min="20" max="21" width="4.88671875" style="965" hidden="1" customWidth="1"/>
    <col min="22" max="22" width="4.88671875" style="966" hidden="1" customWidth="1"/>
    <col min="23" max="25" width="4.88671875" style="967" hidden="1" customWidth="1"/>
    <col min="26" max="16384" width="11.44140625" style="961"/>
  </cols>
  <sheetData>
    <row r="1" spans="1:25" customFormat="1" ht="13.95" customHeight="1">
      <c r="A1" s="636" t="s">
        <v>2781</v>
      </c>
      <c r="B1" s="729"/>
      <c r="C1" s="716"/>
      <c r="D1" s="716"/>
      <c r="E1" s="716"/>
      <c r="F1" s="716"/>
      <c r="G1" s="716"/>
      <c r="H1" s="716"/>
      <c r="I1" s="1"/>
      <c r="J1" s="29" t="s">
        <v>299</v>
      </c>
      <c r="K1" s="1"/>
      <c r="L1" s="33"/>
      <c r="M1" s="1"/>
      <c r="N1" s="839"/>
      <c r="O1" s="142"/>
      <c r="P1" s="144"/>
      <c r="Q1" s="144"/>
      <c r="R1" s="145"/>
      <c r="S1" s="145"/>
      <c r="T1" s="145"/>
      <c r="U1" s="145"/>
      <c r="V1" s="139"/>
      <c r="W1" s="140" t="s">
        <v>2360</v>
      </c>
      <c r="X1" s="137"/>
      <c r="Y1" s="137"/>
    </row>
    <row r="2" spans="1:25" customFormat="1" ht="13.2" customHeight="1">
      <c r="A2" s="141"/>
      <c r="B2" s="730"/>
      <c r="C2" s="24"/>
      <c r="D2" s="24"/>
      <c r="E2" s="24"/>
      <c r="F2" s="24"/>
      <c r="G2" s="24"/>
      <c r="H2" s="1128" t="str">
        <f ca="1">Gebaeude!$I$2</f>
        <v>qP,vorh 33,8&lt;=38,5 kWh/(m²a)  |  HT',vorh 0,25&lt;=0,36 W/(m²K)</v>
      </c>
      <c r="I2" s="1"/>
      <c r="J2" s="87">
        <f>COLUMN(L1)</f>
        <v>12</v>
      </c>
      <c r="K2" s="42" t="s">
        <v>2491</v>
      </c>
      <c r="L2" s="42"/>
      <c r="M2" s="42"/>
      <c r="N2" s="839"/>
      <c r="O2" s="142"/>
      <c r="P2" s="144"/>
      <c r="Q2" s="144"/>
      <c r="R2" s="145"/>
      <c r="S2" s="145"/>
      <c r="T2" s="145"/>
      <c r="U2" s="145"/>
      <c r="V2" s="139"/>
      <c r="W2" s="137"/>
      <c r="X2" s="137"/>
      <c r="Y2" s="137"/>
    </row>
    <row r="3" spans="1:25" s="62" customFormat="1" ht="15" thickBot="1">
      <c r="A3" s="2" t="s">
        <v>32</v>
      </c>
      <c r="B3" s="134" t="str">
        <f>Gebaeude!$E$4</f>
        <v>Beispielgebäude Wohnhaus</v>
      </c>
      <c r="C3" s="18"/>
      <c r="E3" s="24"/>
      <c r="F3" s="24"/>
      <c r="G3" s="24"/>
      <c r="H3" s="24"/>
      <c r="I3" s="1"/>
      <c r="J3" s="87">
        <f>COLUMN(L1)</f>
        <v>12</v>
      </c>
      <c r="L3" s="42"/>
      <c r="M3" s="1175" t="s">
        <v>3480</v>
      </c>
      <c r="N3" s="983"/>
      <c r="O3" s="984"/>
      <c r="P3" s="985"/>
      <c r="Q3" s="985"/>
      <c r="R3" s="986"/>
      <c r="S3" s="1085" t="s">
        <v>3269</v>
      </c>
      <c r="T3" s="1085" t="s">
        <v>3270</v>
      </c>
      <c r="U3" s="986"/>
      <c r="V3" s="1067" t="s">
        <v>3271</v>
      </c>
      <c r="W3" s="988"/>
      <c r="X3" s="988"/>
      <c r="Y3" s="989" t="s">
        <v>3211</v>
      </c>
    </row>
    <row r="4" spans="1:25" s="62" customFormat="1" ht="18" customHeight="1" thickBot="1">
      <c r="A4" s="990" t="s">
        <v>2635</v>
      </c>
      <c r="B4" s="991"/>
      <c r="C4" s="992"/>
      <c r="D4" s="993" t="str">
        <f>IF(COUNTA(H5:H13)=COUNTIF(H5:H13,"ok"),$W$1,"Fehler im Bereich "&amp;A4)</f>
        <v>Fehler im Bereich 1 Dateien und Verzeichnisse</v>
      </c>
      <c r="E4" s="992"/>
      <c r="F4" s="992"/>
      <c r="G4" s="992"/>
      <c r="H4" s="992"/>
      <c r="I4" s="1"/>
      <c r="J4" s="122">
        <f>ROW(A5)</f>
        <v>5</v>
      </c>
      <c r="K4" s="122">
        <f>ROW(A14)</f>
        <v>14</v>
      </c>
      <c r="L4" s="1174" t="s">
        <v>3477</v>
      </c>
      <c r="M4" s="1176" t="s">
        <v>3476</v>
      </c>
      <c r="N4" s="983"/>
      <c r="O4" s="984"/>
      <c r="P4" s="985"/>
      <c r="Q4" s="985"/>
      <c r="R4" s="986"/>
      <c r="S4" s="986"/>
      <c r="T4" s="986"/>
      <c r="U4" s="986"/>
      <c r="V4" s="1067" t="s">
        <v>3267</v>
      </c>
      <c r="W4" s="1067" t="s">
        <v>3268</v>
      </c>
      <c r="X4" s="1067"/>
      <c r="Y4" s="1067" t="s">
        <v>3258</v>
      </c>
    </row>
    <row r="5" spans="1:25" s="62" customFormat="1" ht="15" thickBot="1">
      <c r="A5" s="995" t="str">
        <f>"Verzeichnis der Druckapplikation &lt;"&amp;aExeName&amp;"&gt;"</f>
        <v>Verzeichnis der Druckapplikation &lt;Druckapplikation2023.exe&gt;</v>
      </c>
      <c r="B5" s="730"/>
      <c r="C5" s="1049" t="s">
        <v>825</v>
      </c>
      <c r="D5" s="24"/>
      <c r="E5" s="24"/>
      <c r="F5" s="24"/>
      <c r="G5" s="24"/>
      <c r="H5" s="996" t="str">
        <f>IF(C5="","Bitte angeben.",DateiExistiert(C5,aExeName))&amp;CHOOSE(1,"",C7,"Bezug zu C7 nur zum Zweck der Neuberechnung der Zelle. Erstes Argument 1 wählt immer leere Zeichenfolge, restlich Argumente nur Kommentar")</f>
        <v>Bitte angeben.</v>
      </c>
      <c r="I5" s="392"/>
      <c r="J5" s="87"/>
      <c r="K5" s="87"/>
      <c r="L5" s="1174" t="s">
        <v>3478</v>
      </c>
      <c r="M5" s="1176" t="s">
        <v>3479</v>
      </c>
      <c r="N5" s="983"/>
      <c r="O5" s="984"/>
      <c r="P5" s="985"/>
      <c r="Q5" s="1049" t="s">
        <v>3489</v>
      </c>
      <c r="R5" s="986"/>
      <c r="S5" s="1086" t="str">
        <f>"        "&amp;tcombine(S16:S62,""",""")&amp;", _"</f>
        <v xml:space="preserve">        "aGebaeudeadresseStrasseNr","aGebaeudeadressePostleitzahl","aGebaeudeadresseOrt","aAusstellervorname","aAusstellername","aAusstellerBezeichnung","aAusstellerStrasseNr","aAusstellerPLZ","aAusstellerOrt","aRechtsstand","aAusstellungsdatum","aBaujahrGebaeude","aBaujahrWaermeerzeuger","awesentlicheEnergietraegerHeizung","awesentlicheEnergietraegerWarmwasser","aErneuerbareArt","aErneuerbareVerwendung", _</v>
      </c>
      <c r="T5" s="1086" t="str">
        <f>"        "&amp;tcombine(T16:T60,""",""")&amp;", _"</f>
        <v xml:space="preserve">        "aZusatzinfosbeigefuegt","aRechtsstandGrund","aBundesland","aGebaeudeteil","aAltersklasseGebaeude","aAltersklasseWaermeerzeuger","aLueftungsartFensterlueftung","aLueftungsartSchachtlueftung","aLueftungsartAnlageoWRG","aLueftungsartAnlagemWRG","aKuehlungsartpassiveKuehlung","aKuehlungsartStrom","aKuehlungsartWaerme","aKuehlungsartgelieferteKaelte","aKeineinspektionspflichtigeAnlage","aAusstellungsanlass","aDatenerhebungAussteller","aDatenerhebungEigentuemer","aGebaeudetyp","aWohngebaeudeAnbaugrad", _</v>
      </c>
      <c r="U5" s="986"/>
      <c r="V5" s="1086" t="str">
        <f>"        "&amp;tcombine(V16:V62,""",""")&amp;", _"</f>
        <v xml:space="preserve">        "aGebaeudeadresseStrasseNr","aGebaeudeadressePostleitzahl","aGebaeudeadresseOrt","aAusstellervorname","aAusstellername","aAusstellerBezeichnung","aAusstellerStrasseNr","aAusstellerPLZ","aAusstellerOrt","aZusatzinfosbeigefuegt","aRechtsstand","aRechtsstandGrund","aAusstellungsdatum","aBundesland","aGebaeudeteil","aBaujahrGebaeude","aAltersklasseGebaeude","aBaujahrWaermeerzeuger","aAltersklasseWaermeerzeuger","awesentlicheEnergietraegerHeizung","awesentlicheEnergietraegerWarmwasser","aErneuerbareArt","aErneuerbareVerwendung","aLueftungsartFensterlueftung","aLueftungsartSchachtlueftung","aLueftungsartAnlageoWRG","aLueftungsartAnlagemWRG","aKuehlungsartpassiveKuehlung","aKuehlungsartStrom","aKuehlungsartWaerme","aKuehlungsartgelieferteKaelte","aKeineinspektionspflichtigeAnlage","aAusstellungsanlass","aDatenerhebungAussteller","aDatenerhebungEigentuemer","aGebaeudetyp","aWohngebaeudeAnbaugrad", _</v>
      </c>
      <c r="W5" s="994"/>
      <c r="X5" s="988"/>
      <c r="Y5" s="1086" t="str">
        <f>"    "&amp;tcombine(Q16:Q26,""",""")&amp;", _"</f>
        <v xml:space="preserve">    "Gebaeudeadresse-Strasse-Nr","Gebaeudeadresse-Postleitzahl","Gebaeudeadresse-Ort","Ausstellervorname","Ausstellername","Aussteller-Bezeichnung","Aussteller-Strasse-Nr","Aussteller-PLZ","Aussteller-Ort","Zusatzinfos-beigefuegt","Angaben-erhaeltlich", _</v>
      </c>
    </row>
    <row r="6" spans="1:25" s="62" customFormat="1" ht="15" thickBot="1">
      <c r="A6" s="702" t="s">
        <v>2366</v>
      </c>
      <c r="B6" s="730"/>
      <c r="C6" s="998"/>
      <c r="D6" s="24"/>
      <c r="E6" s="24"/>
      <c r="F6" s="24"/>
      <c r="G6" s="24"/>
      <c r="H6" s="24"/>
      <c r="I6" s="1"/>
      <c r="J6" s="18"/>
      <c r="K6" s="1"/>
      <c r="L6" s="786"/>
      <c r="M6" s="1"/>
      <c r="N6" s="999"/>
      <c r="O6" s="984"/>
      <c r="P6" s="985"/>
      <c r="Q6" s="998" t="s">
        <v>3283</v>
      </c>
      <c r="R6" s="986"/>
      <c r="S6" s="1086" t="str">
        <f>"        "&amp;tcombine(S115:S201,""",""")&amp;")"</f>
        <v xml:space="preserve">        "aNennleistung1","aWaermeerzeugerBaujahr1","aAnzahlbaugleiche1","aPrimaerenergiefaktor1","aEmissionsfaktor1","aNennleistung2","aWaermeerzeugerBaujahr2","aAnzahlbaugleiche2","aPrimaerenergiefaktor2","aEmissionsfaktor2","aPufferspeicherNenninhalt","aTrinkwarmwassererzeugerBaujahr1","aAnzahlbaugleicheWW1","aTrinkwarmwassererzeugerBaujahr2","aAnzahlbaugleicheWW2","aTrinkwarmwasserspeicherNenninhalt","aangerechneterlokalererneuerbarerStrom","aPrimaerenergiefaktorListe1","aEndenergiebedarfHeizungspezifisch1","aEndenergiebedarfTrinkwarmwasserspezifisch1","aPrimaerenergiefaktorListe2","aEndenergiebedarfHeizungspezifisch2","aEndenergiebedarfTrinkwarmwasserspezifisch2","aDeckungsanteil1","aAnteilderPflichterfuellung1","aDeckungsanteil2","aAnteilderPflichterfuellung2","aspezifischerTransmissionswaermeverlustverschaerft")</v>
      </c>
      <c r="T6" s="1086" t="str">
        <f>"        "&amp;tcombine(T115:T201,""",""")&amp;")"</f>
        <v xml:space="preserve">        "aLuftdichtheit","aWaermeerzeugerBauweise1","aEnergietraeger1","aWaermeerzeugerBauweise2","aEnergietraeger2","aHeizkreisauslegungstemperatur","aHeizungsanlageinnerhalbHuelle","aTrinkwarmwassererzeugerBauweise1","aTrinkwarmwassererzeugerBauweise2","aTrinkwarmwasserverteilungZirkulation","aVereinfachteDatenaufnahme","aEnergietraegerbezeichnung1","aEnergietraegerbezeichnung2","aArtderNutzungerneuerbarenEnergie1","aArtderNutzungerneuerbarenEnergie2","averschaerftnachGEG45eingehalten","anichtverschaerftnachGEG34","aSommerlicherWaermeschutz")</v>
      </c>
      <c r="U6" s="986"/>
      <c r="V6" s="1086" t="str">
        <f>"        "&amp;tcombine(V115:V154,""",""")&amp;", _"</f>
        <v xml:space="preserve">        "aLuftdichtheit","aWaermeerzeugerBauweise1","aNennleistung1","aWaermeerzeugerBaujahr1","aAnzahlbaugleiche1","aEnergietraeger1","aPrimaerenergiefaktor1","aEmissionsfaktor1","aWaermeerzeugerBauweise2","aNennleistung2","aWaermeerzeugerBaujahr2","aAnzahlbaugleiche2","aEnergietraeger2","aPrimaerenergiefaktor2","aEmissionsfaktor2","aPufferspeicherNenninhalt","aHeizkreisauslegungstemperatur","aHeizungsanlageinnerhalbHuelle","aTrinkwarmwassererzeugerBauweise1","aTrinkwarmwassererzeugerBaujahr1","aAnzahlbaugleicheWW1","aTrinkwarmwassererzeugerBauweise2","aTrinkwarmwassererzeugerBaujahr2","aAnzahlbaugleicheWW2","aTrinkwarmwasserspeicherNenninhalt","aTrinkwarmwasserverteilungZirkulation","aVereinfachteDatenaufnahme", _</v>
      </c>
      <c r="W6" s="994"/>
      <c r="X6" s="988"/>
      <c r="Y6" s="1086" t="str">
        <f>"    "&amp;tcombine(Q31:Q54,""",""")&amp;", _"</f>
        <v xml:space="preserve">    "Bundesland","Postleitzahl","Gebaeudeteil","Baujahr-Gebaeude","Altersklasse-Gebaeude","Baujahr-Waermeerzeuger","Altersklasse-Waermeerzeuger","wesentliche-Energietraeger-Heizung","wesentliche-Energietraeger-Warmwasser","Erneuerbare-Art","Erneuerbare-Verwendung","Lueftungsart-Fensterlueftung","Lueftungsart-Schachtlueftung","Lueftungsart-Anlage-o-WRG","Lueftungsart-Anlage-m-WRG","Kuehlungsart-passive-Kuehlung","Kuehlungsart-Strom","Kuehlungsart-Waerme","Kuehlungsart-gelieferte-Kaelte","Keine-inspektionspflichtige-Anlage","Treibhausgasemissionen","Ausstellungsanlass","Datenerhebung-Aussteller","Datenerhebung-Eigentuemer", _</v>
      </c>
    </row>
    <row r="7" spans="1:25" s="62" customFormat="1" ht="15" thickBot="1">
      <c r="A7" s="1000" t="s">
        <v>2361</v>
      </c>
      <c r="B7" s="730"/>
      <c r="C7" s="1180"/>
      <c r="D7" s="24"/>
      <c r="E7" s="24"/>
      <c r="F7" s="24"/>
      <c r="G7" s="24"/>
      <c r="H7" s="996" t="str">
        <f>IF(C7="","Ohne xml keine Vorschau oder Registrierung möglich. Bitte zuerst Schritt 1) xml schreiben ausführen.","ok")</f>
        <v>Ohne xml keine Vorschau oder Registrierung möglich. Bitte zuerst Schritt 1) xml schreiben ausführen.</v>
      </c>
      <c r="I7" s="1"/>
      <c r="J7" s="18"/>
      <c r="K7" s="1"/>
      <c r="L7" s="786"/>
      <c r="M7" s="1"/>
      <c r="N7" s="1001"/>
      <c r="O7" s="984"/>
      <c r="P7" s="985"/>
      <c r="Q7" s="985"/>
      <c r="R7" s="985"/>
      <c r="S7" s="986"/>
      <c r="T7" s="986"/>
      <c r="U7" s="986"/>
      <c r="V7" s="1086" t="str">
        <f>"        "&amp;tcombine(V155:V201,""",""")&amp;")"</f>
        <v xml:space="preserve">        "aangerechneterlokalererneuerbarerStrom","aEnergietraegerbezeichnung1","aPrimaerenergiefaktorListe1","aEndenergiebedarfHeizungspezifisch1","aEndenergiebedarfTrinkwarmwasserspezifisch1","aEnergietraegerbezeichnung2","aPrimaerenergiefaktorListe2","aEndenergiebedarfHeizungspezifisch2","aEndenergiebedarfTrinkwarmwasserspezifisch2","aArtderNutzungerneuerbarenEnergie1","aDeckungsanteil1","aAnteilderPflichterfuellung1","aArtderNutzungerneuerbarenEnergie2","aDeckungsanteil2","aAnteilderPflichterfuellung2","averschaerftnachGEG45eingehalten","anichtverschaerftnachGEG34","aspezifischerTransmissionswaermeverlustverschaerft","aSommerlicherWaermeschutz")</v>
      </c>
      <c r="W7" s="994"/>
      <c r="X7" s="988"/>
      <c r="Y7" s="1086" t="str">
        <f>"    "&amp;tcombine(Q56:Q62,""",""")&amp;", _"</f>
        <v xml:space="preserve">    "Gebaeudetyp","Anzahl-Wohneinheiten","Gebaeudenutzflaeche","Wohngebaeude-Anbaugrad","Bruttovolumen","durchschnittliche-Geschosshoehe", _</v>
      </c>
    </row>
    <row r="8" spans="1:25" s="62" customFormat="1" ht="15" thickBot="1">
      <c r="A8" s="1050" t="s">
        <v>2363</v>
      </c>
      <c r="B8" s="730"/>
      <c r="C8" s="998"/>
      <c r="E8" s="24"/>
      <c r="F8" s="24"/>
      <c r="G8" s="24"/>
      <c r="H8" s="996" t="str">
        <f>DateiExistiert($C$6,C8)</f>
        <v>Fehler, Datei nicht gefunden</v>
      </c>
      <c r="I8" s="1"/>
      <c r="J8" s="18"/>
      <c r="K8" s="1"/>
      <c r="L8" s="786"/>
      <c r="M8" s="1"/>
      <c r="N8" s="999"/>
      <c r="O8" s="984"/>
      <c r="P8" s="985"/>
      <c r="Q8" s="998" t="s">
        <v>2998</v>
      </c>
      <c r="R8" s="986"/>
      <c r="S8" s="986"/>
      <c r="T8" s="986"/>
      <c r="U8" s="986"/>
      <c r="V8" s="987"/>
      <c r="W8" s="988"/>
      <c r="X8" s="988"/>
      <c r="Y8" s="1086" t="str">
        <f>"    "&amp;tcombine(Q116:Q154,""",""")&amp;", _"</f>
        <v xml:space="preserve">    "Waermebrueckenzuschlag","Transmissionswaermeverlust","Luftdichtheit","Lueftungswaermeverlust","Solare-Waermegewinne","Interne-Waermegewinne","Waermeerzeuger-Bauweise1","Nennleistung1","Waermeerzeuger-Baujahr1","Anzahl-baugleiche1","Energietraeger1","Primaerenergiefaktor1","Emissionsfaktor1","Waermeerzeuger-Bauweise2","Nennleistung2","Waermeerzeuger-Baujahr2","Anzahl-baugleiche2","Energietraeger2","Primaerenergiefaktor2","Emissionsfaktor2","Pufferspeicher-Nenninhalt","Heizkreisauslegungstemperatur","Heizungsanlage-innerhalb-Huelle","Trinkwarmwassererzeuger-Bauweise1","Trinkwarmwassererzeuger-Baujahr1","Anzahl-baugleicheWW1","Trinkwarmwassererzeuger-Bauweise2","Trinkwarmwassererzeuger-Baujahr2","Anzahl-baugleicheWW2","Trinkwarmwasserspeicher-Nenninhalt","Trinkwarmwasserverteilung-Zirkulation","Vereinfachte-Datenaufnahme", _</v>
      </c>
    </row>
    <row r="9" spans="1:25" s="62" customFormat="1" ht="15" thickBot="1">
      <c r="A9" s="1050" t="s">
        <v>2364</v>
      </c>
      <c r="B9" s="730"/>
      <c r="C9" s="998"/>
      <c r="E9" s="24"/>
      <c r="F9" s="24"/>
      <c r="G9" s="24"/>
      <c r="H9" s="996" t="str">
        <f>DateiExistiert($C$6,C9)</f>
        <v>Fehler, Datei nicht gefunden</v>
      </c>
      <c r="I9" s="1"/>
      <c r="J9" s="18"/>
      <c r="K9" s="730"/>
      <c r="L9" s="786"/>
      <c r="M9" s="730"/>
      <c r="N9" s="1002"/>
      <c r="O9" s="984"/>
      <c r="P9" s="985"/>
      <c r="Q9" s="998" t="s">
        <v>2999</v>
      </c>
      <c r="R9" s="986"/>
      <c r="S9" s="986"/>
      <c r="T9" s="986"/>
      <c r="U9" s="986"/>
      <c r="V9" s="987"/>
      <c r="W9" s="994"/>
      <c r="X9" s="988"/>
      <c r="Y9" s="1086" t="str">
        <f>"    "&amp;tcombine(Q156:Q173,""",""")&amp;", _"</f>
        <v xml:space="preserve">    "spezifischer-Transmissionswaermeverlust-Ist","spezifischer-Transmissionswaermeverlust-Hoechstwert","angerechneter-lokaler-erneuerbarer-Strom","Innovationsklausel","Quartiersregelung","Primaerenergiebedarf-Hoechstwert-Bestand","Primaerenergiebedarf-Hoechstwert-Neubau","Endenergiebedarf-Hoechstwert-Neubau","Treibhausgasemissionen-Hoechstwert-Neubau","Energietraegerbezeichnung1","PrimaerenergiefaktorListe1","Endenergiebedarf-Heizung-spezifisch1","Endenergiebedarf-Kuehlung-Befeuchtung-spezifisch1","Endenergiebedarf-Trinkwarmwasser-spezifisch1","Endenergiebedarf-Beleuchtung-spezifisch1","Endenergiebedarf-Lueftung-spezifisch1","Endenergiebedarf-Energietraeger-Gesamtgebaeude-spezifisch1", _</v>
      </c>
    </row>
    <row r="10" spans="1:25" s="62" customFormat="1" ht="15" thickBot="1">
      <c r="A10" s="1050" t="s">
        <v>2365</v>
      </c>
      <c r="B10" s="730"/>
      <c r="C10" s="998"/>
      <c r="D10" s="24"/>
      <c r="E10" s="24"/>
      <c r="F10" s="24"/>
      <c r="G10" s="24"/>
      <c r="H10" s="996" t="str">
        <f>DateiExistiert($C$6,C10)</f>
        <v>Fehler, Datei nicht gefunden</v>
      </c>
      <c r="I10" s="1"/>
      <c r="J10" s="18"/>
      <c r="K10" s="1"/>
      <c r="L10" s="786"/>
      <c r="M10" s="1"/>
      <c r="N10" s="1002"/>
      <c r="O10" s="984"/>
      <c r="P10" s="985"/>
      <c r="Q10" s="998" t="s">
        <v>3000</v>
      </c>
      <c r="R10" s="986"/>
      <c r="S10" s="986"/>
      <c r="T10" s="986"/>
      <c r="U10" s="986"/>
      <c r="V10" s="987"/>
      <c r="W10" s="994"/>
      <c r="X10" s="988"/>
      <c r="Y10" s="1086" t="str">
        <f>"    "&amp;tcombine(Q175:Q201,""",""")&amp;")"</f>
        <v xml:space="preserve">    "Energietraegerbezeichnung2","PrimaerenergiefaktorListe2","Endenergiebedarf-Heizung-spezifisch2","Endenergiebedarf-Kuehlung-Befeuchtung-spezifisch2","Endenergiebedarf-Trinkwarmwasser-spezifisch2","Endenergiebedarf-Beleuchtung-spezifisch2","Endenergiebedarf-Lueftung-spezifisch2","Endenergiebedarf-Energietraeger-Gesamtgebaeude-spezifisch2","Endenergiebedarf-Waerme-AN","Endenergiebedarf-Hilfsenergie-AN","Endenergiebedarf-Gesamt","Primaerenergiebedarf","Energieeffizienzklasse","Art-der-Nutzung-erneuerbaren-Energie-1","Deckungsanteil-1","Anteil-der-Pflichterfuellung-1","Art-der-Nutzung-erneuerbaren-Energie-2","Deckungsanteil-2","Anteil-der-Pflichterfuellung-2","verschaerft-nach-GEG-45-eingehalten","nicht-verschaerft-nach-GEG-34","spezifischer-Transmissionswaermeverlust-verschaerft","Sommerlicher-Waermeschutz","Empfehlungen-moeglich","Keine-Modernisierung-Erweiterung-Vorhaben","Softwarehersteller-Programm-Version")</v>
      </c>
    </row>
    <row r="11" spans="1:25" s="62" customFormat="1" ht="15" thickBot="1">
      <c r="A11" s="1000" t="s">
        <v>2362</v>
      </c>
      <c r="B11" s="730"/>
      <c r="C11" s="998"/>
      <c r="D11" s="24"/>
      <c r="E11" s="24"/>
      <c r="F11" s="24"/>
      <c r="G11" s="24"/>
      <c r="H11" s="996" t="str">
        <f>IF(C11="","Bitte angeben.","ok")</f>
        <v>Bitte angeben.</v>
      </c>
      <c r="K11" s="1"/>
      <c r="L11" s="786"/>
      <c r="M11" s="392" t="s">
        <v>2634</v>
      </c>
      <c r="N11" s="983"/>
      <c r="O11" s="984"/>
      <c r="P11" s="985"/>
      <c r="Q11" s="998" t="s">
        <v>3286</v>
      </c>
      <c r="R11" s="986"/>
      <c r="S11" s="986"/>
      <c r="T11" s="986"/>
      <c r="U11" s="986"/>
      <c r="V11" s="987"/>
      <c r="W11" s="988"/>
      <c r="X11" s="988"/>
      <c r="Y11" s="994"/>
    </row>
    <row r="12" spans="1:25" s="62" customFormat="1" ht="15" thickBot="1">
      <c r="A12" s="1379" t="s">
        <v>3253</v>
      </c>
      <c r="B12" s="730" t="s">
        <v>2511</v>
      </c>
      <c r="C12" s="998"/>
      <c r="E12" s="24"/>
      <c r="F12" s="24"/>
      <c r="G12" s="24"/>
      <c r="H12" s="996" t="str">
        <f>IF(C12="","Bitte angeben (für Registrierung).","ok")</f>
        <v>Bitte angeben (für Registrierung).</v>
      </c>
      <c r="I12" s="392"/>
      <c r="J12" s="18"/>
      <c r="K12" s="1"/>
      <c r="L12" s="46" t="s">
        <v>2515</v>
      </c>
      <c r="M12" s="1"/>
      <c r="N12" s="983"/>
      <c r="O12" s="984"/>
      <c r="P12" s="985"/>
      <c r="Q12" s="998" t="s">
        <v>3284</v>
      </c>
      <c r="R12" s="986"/>
      <c r="S12" s="986"/>
      <c r="T12" s="986"/>
      <c r="U12" s="986"/>
      <c r="V12" s="987"/>
      <c r="W12" s="988"/>
      <c r="X12" s="988"/>
      <c r="Y12" s="994"/>
    </row>
    <row r="13" spans="1:25" s="62" customFormat="1" ht="15" thickBot="1">
      <c r="A13" s="1379"/>
      <c r="B13" s="730" t="s">
        <v>2512</v>
      </c>
      <c r="C13" s="998"/>
      <c r="D13" s="18"/>
      <c r="E13" s="24"/>
      <c r="F13" s="24"/>
      <c r="G13" s="24"/>
      <c r="H13" s="996" t="str">
        <f>IF(C13="","Bitte angeben (für Registrierung).","ok")</f>
        <v>Bitte angeben (für Registrierung).</v>
      </c>
      <c r="I13" s="392"/>
      <c r="J13" s="18"/>
      <c r="K13" s="1"/>
      <c r="L13" s="46" t="s">
        <v>3032</v>
      </c>
      <c r="M13" s="1"/>
      <c r="N13" s="1003" t="s">
        <v>1065</v>
      </c>
      <c r="O13" s="1004"/>
      <c r="P13" s="985"/>
      <c r="Q13" s="998" t="s">
        <v>3285</v>
      </c>
      <c r="R13" s="986"/>
      <c r="S13" s="1092" t="str">
        <f>IF($V13="","",IF(GetValidatation($B13)=FALSE,$V13,""))</f>
        <v>aDateien</v>
      </c>
      <c r="T13" s="1092" t="str">
        <f>IF($V13="","",IF(GetValidatation($B13)=TRUE,$V13,""))</f>
        <v/>
      </c>
      <c r="U13" s="986"/>
      <c r="V13" s="1082" t="str">
        <f>GetCellName(aDateien)</f>
        <v>aDateien</v>
      </c>
      <c r="W13" s="988"/>
      <c r="X13" s="988"/>
      <c r="Y13" s="994"/>
    </row>
    <row r="14" spans="1:25" s="62" customFormat="1" ht="15" thickBot="1">
      <c r="A14" s="1005" t="s">
        <v>3029</v>
      </c>
      <c r="B14" s="730"/>
      <c r="C14" s="1" t="s">
        <v>3474</v>
      </c>
      <c r="D14" s="1006"/>
      <c r="E14" s="24"/>
      <c r="F14" s="24"/>
      <c r="G14" s="24"/>
      <c r="H14" s="24"/>
      <c r="I14" s="392"/>
      <c r="J14" s="18"/>
      <c r="K14" s="1"/>
      <c r="L14" s="46" t="s">
        <v>3031</v>
      </c>
      <c r="M14" s="1"/>
      <c r="N14" s="1007" t="s">
        <v>1010</v>
      </c>
      <c r="O14" s="1004"/>
      <c r="P14" s="985"/>
      <c r="Q14" s="1173" t="s">
        <v>3475</v>
      </c>
      <c r="R14" s="986"/>
      <c r="S14" s="986"/>
      <c r="T14" s="986"/>
      <c r="U14" s="986"/>
      <c r="V14" s="987"/>
      <c r="W14" s="988"/>
      <c r="X14" s="988"/>
      <c r="Y14" s="994"/>
    </row>
    <row r="15" spans="1:25" s="62" customFormat="1" ht="17.399999999999999" customHeight="1" thickBot="1">
      <c r="A15" s="990" t="s">
        <v>2644</v>
      </c>
      <c r="B15" s="991"/>
      <c r="C15" s="992"/>
      <c r="D15" s="993" t="str">
        <f>IF(COUNTA(D16:D26)=COUNTIF(D16:D26,"ok"),$W$1,"Fehler im Bereich "&amp;A15)</f>
        <v>Prüfung Format: ok</v>
      </c>
      <c r="E15" s="992"/>
      <c r="F15" s="992"/>
      <c r="G15" s="992"/>
      <c r="H15" s="992"/>
      <c r="I15" s="1"/>
      <c r="J15" s="122">
        <f>ROW(A16)</f>
        <v>16</v>
      </c>
      <c r="K15" s="122">
        <f>ROW(A26)</f>
        <v>26</v>
      </c>
      <c r="L15" s="46" t="s">
        <v>3003</v>
      </c>
      <c r="M15" s="122"/>
      <c r="N15" s="1008"/>
      <c r="O15" s="984"/>
      <c r="P15" s="1089" t="s">
        <v>3001</v>
      </c>
      <c r="Q15" s="1087"/>
      <c r="R15" s="986"/>
      <c r="S15" s="986"/>
      <c r="T15" s="986"/>
      <c r="U15" s="986"/>
      <c r="V15" s="987"/>
      <c r="W15" s="988"/>
      <c r="X15" s="988"/>
      <c r="Y15" s="988"/>
    </row>
    <row r="16" spans="1:25" s="62" customFormat="1" ht="15" thickBot="1">
      <c r="A16" s="702" t="s">
        <v>922</v>
      </c>
      <c r="B16" s="1009" t="s">
        <v>2533</v>
      </c>
      <c r="D16" s="996" t="str">
        <f t="shared" ref="D16:D26" si="0">Plausibilitaet(B16,N16)</f>
        <v>ok</v>
      </c>
      <c r="E16" s="18"/>
      <c r="F16" s="18"/>
      <c r="H16" s="18"/>
      <c r="I16" s="1"/>
      <c r="J16" s="122"/>
      <c r="K16" s="122"/>
      <c r="L16" s="46" t="s">
        <v>879</v>
      </c>
      <c r="M16" s="122"/>
      <c r="N16" s="1007" t="s">
        <v>3004</v>
      </c>
      <c r="O16" s="984"/>
      <c r="P16" s="1089"/>
      <c r="Q16" s="1087" t="s">
        <v>844</v>
      </c>
      <c r="R16" s="986"/>
      <c r="S16" s="1092" t="str">
        <f>IF($V16="","",IF(GetValidatation($B16)=FALSE,$V16,""))</f>
        <v>aGebaeudeadresseStrasseNr</v>
      </c>
      <c r="T16" s="1092" t="str">
        <f>IF($V16="","",IF(GetValidatation($B16)=TRUE,$V16,""))</f>
        <v/>
      </c>
      <c r="U16" s="986"/>
      <c r="V16" s="1082" t="str">
        <f>GetCellName(B16)</f>
        <v>aGebaeudeadresseStrasseNr</v>
      </c>
      <c r="W16" s="988"/>
      <c r="X16" s="988"/>
      <c r="Y16" s="988"/>
    </row>
    <row r="17" spans="1:25" s="62" customFormat="1" ht="15" thickBot="1">
      <c r="A17" s="1050" t="s">
        <v>855</v>
      </c>
      <c r="B17" s="1010" t="s">
        <v>2771</v>
      </c>
      <c r="D17" s="996" t="str">
        <f t="shared" si="0"/>
        <v>ok</v>
      </c>
      <c r="L17" s="46" t="s">
        <v>3005</v>
      </c>
      <c r="N17" s="1007" t="s">
        <v>880</v>
      </c>
      <c r="O17" s="984"/>
      <c r="P17" s="1089"/>
      <c r="Q17" s="1087" t="s">
        <v>845</v>
      </c>
      <c r="R17" s="986"/>
      <c r="S17" s="1092" t="str">
        <f t="shared" ref="S17:S62" si="1">IF($V17="","",IF(GetValidatation($B17)=FALSE,$V17,""))</f>
        <v>aGebaeudeadressePostleitzahl</v>
      </c>
      <c r="T17" s="1092" t="str">
        <f t="shared" ref="T17:T62" si="2">IF($V17="","",IF(GetValidatation($B17)=TRUE,$V17,""))</f>
        <v/>
      </c>
      <c r="U17" s="986"/>
      <c r="V17" s="1082" t="str">
        <f t="shared" ref="V17:V25" si="3">GetCellName(B17)</f>
        <v>aGebaeudeadressePostleitzahl</v>
      </c>
      <c r="W17" s="988"/>
      <c r="X17" s="988"/>
      <c r="Y17" s="988"/>
    </row>
    <row r="18" spans="1:25" s="62" customFormat="1" ht="15" thickBot="1">
      <c r="A18" s="1050" t="s">
        <v>856</v>
      </c>
      <c r="B18" s="1011" t="s">
        <v>2535</v>
      </c>
      <c r="D18" s="996" t="str">
        <f t="shared" si="0"/>
        <v>ok</v>
      </c>
      <c r="L18" s="46" t="s">
        <v>881</v>
      </c>
      <c r="M18" s="1012"/>
      <c r="N18" s="1007" t="s">
        <v>3006</v>
      </c>
      <c r="O18" s="984"/>
      <c r="P18" s="1089"/>
      <c r="Q18" s="1087" t="s">
        <v>846</v>
      </c>
      <c r="R18" s="986"/>
      <c r="S18" s="1092" t="str">
        <f t="shared" si="1"/>
        <v>aGebaeudeadresseOrt</v>
      </c>
      <c r="T18" s="1092" t="str">
        <f t="shared" si="2"/>
        <v/>
      </c>
      <c r="U18" s="986"/>
      <c r="V18" s="1082" t="str">
        <f t="shared" si="3"/>
        <v>aGebaeudeadresseOrt</v>
      </c>
      <c r="W18" s="988"/>
      <c r="X18" s="988"/>
      <c r="Y18" s="988"/>
    </row>
    <row r="19" spans="1:25" s="62" customFormat="1" ht="15" thickBot="1">
      <c r="A19" s="702" t="s">
        <v>847</v>
      </c>
      <c r="B19" s="1011" t="s">
        <v>2536</v>
      </c>
      <c r="D19" s="996" t="str">
        <f t="shared" si="0"/>
        <v>ok</v>
      </c>
      <c r="L19" s="46" t="s">
        <v>882</v>
      </c>
      <c r="N19" s="1007" t="s">
        <v>2682</v>
      </c>
      <c r="O19" s="984"/>
      <c r="P19" s="1089"/>
      <c r="Q19" s="1087" t="s">
        <v>847</v>
      </c>
      <c r="R19" s="986"/>
      <c r="S19" s="1092" t="str">
        <f t="shared" si="1"/>
        <v>aAusstellervorname</v>
      </c>
      <c r="T19" s="1092" t="str">
        <f t="shared" si="2"/>
        <v/>
      </c>
      <c r="U19" s="986"/>
      <c r="V19" s="1082" t="str">
        <f t="shared" si="3"/>
        <v>aAusstellervorname</v>
      </c>
      <c r="W19" s="988"/>
      <c r="X19" s="988"/>
      <c r="Y19" s="988"/>
    </row>
    <row r="20" spans="1:25" s="62" customFormat="1" ht="15" thickBot="1">
      <c r="A20" s="1050" t="s">
        <v>848</v>
      </c>
      <c r="B20" s="1011" t="s">
        <v>2947</v>
      </c>
      <c r="D20" s="996" t="str">
        <f t="shared" si="0"/>
        <v>ok</v>
      </c>
      <c r="L20" s="46" t="s">
        <v>884</v>
      </c>
      <c r="N20" s="1007" t="s">
        <v>2682</v>
      </c>
      <c r="O20" s="984"/>
      <c r="P20" s="1089"/>
      <c r="Q20" s="1087" t="s">
        <v>848</v>
      </c>
      <c r="R20" s="986"/>
      <c r="S20" s="1092" t="str">
        <f t="shared" si="1"/>
        <v>aAusstellername</v>
      </c>
      <c r="T20" s="1092" t="str">
        <f t="shared" si="2"/>
        <v/>
      </c>
      <c r="U20" s="986"/>
      <c r="V20" s="1082" t="str">
        <f t="shared" si="3"/>
        <v>aAusstellername</v>
      </c>
      <c r="W20" s="994"/>
      <c r="X20" s="988"/>
      <c r="Y20" s="988"/>
    </row>
    <row r="21" spans="1:25" s="62" customFormat="1" ht="15" thickBot="1">
      <c r="A21" s="1050" t="s">
        <v>857</v>
      </c>
      <c r="B21" s="1011" t="s">
        <v>2537</v>
      </c>
      <c r="D21" s="996" t="str">
        <f>Plausibilitaet(B21,N21)</f>
        <v>ok</v>
      </c>
      <c r="L21" s="46" t="s">
        <v>885</v>
      </c>
      <c r="N21" s="983" t="s">
        <v>2682</v>
      </c>
      <c r="O21" s="984"/>
      <c r="P21" s="1089"/>
      <c r="Q21" s="1087" t="s">
        <v>849</v>
      </c>
      <c r="R21" s="986"/>
      <c r="S21" s="1092" t="str">
        <f t="shared" si="1"/>
        <v>aAusstellerBezeichnung</v>
      </c>
      <c r="T21" s="1092" t="str">
        <f t="shared" si="2"/>
        <v/>
      </c>
      <c r="U21" s="986"/>
      <c r="V21" s="1082" t="str">
        <f t="shared" si="3"/>
        <v>aAusstellerBezeichnung</v>
      </c>
      <c r="W21" s="994"/>
      <c r="X21" s="988"/>
      <c r="Y21" s="988"/>
    </row>
    <row r="22" spans="1:25" s="62" customFormat="1" ht="15" thickBot="1">
      <c r="A22" s="1050" t="s">
        <v>923</v>
      </c>
      <c r="B22" s="1011" t="s">
        <v>1080</v>
      </c>
      <c r="D22" s="996" t="str">
        <f t="shared" si="0"/>
        <v>ok</v>
      </c>
      <c r="L22" s="46" t="s">
        <v>886</v>
      </c>
      <c r="M22" s="1012"/>
      <c r="N22" s="1007" t="s">
        <v>2682</v>
      </c>
      <c r="O22" s="984"/>
      <c r="P22" s="1089"/>
      <c r="Q22" s="1087" t="s">
        <v>850</v>
      </c>
      <c r="R22" s="986"/>
      <c r="S22" s="1092" t="str">
        <f t="shared" si="1"/>
        <v>aAusstellerStrasseNr</v>
      </c>
      <c r="T22" s="1092" t="str">
        <f t="shared" si="2"/>
        <v/>
      </c>
      <c r="U22" s="986"/>
      <c r="V22" s="1082" t="str">
        <f t="shared" si="3"/>
        <v>aAusstellerStrasseNr</v>
      </c>
      <c r="W22" s="994"/>
      <c r="X22" s="988"/>
      <c r="Y22" s="988"/>
    </row>
    <row r="23" spans="1:25" s="62" customFormat="1" ht="15" thickBot="1">
      <c r="A23" s="1050" t="s">
        <v>858</v>
      </c>
      <c r="B23" s="1011">
        <v>12356</v>
      </c>
      <c r="D23" s="996" t="str">
        <f t="shared" si="0"/>
        <v>ok</v>
      </c>
      <c r="L23" s="46" t="s">
        <v>887</v>
      </c>
      <c r="M23" s="1012"/>
      <c r="N23" s="1007" t="s">
        <v>3007</v>
      </c>
      <c r="O23" s="984"/>
      <c r="P23" s="1089"/>
      <c r="Q23" s="1087" t="s">
        <v>851</v>
      </c>
      <c r="R23" s="986"/>
      <c r="S23" s="1092" t="str">
        <f t="shared" si="1"/>
        <v>aAusstellerPLZ</v>
      </c>
      <c r="T23" s="1092" t="str">
        <f t="shared" si="2"/>
        <v/>
      </c>
      <c r="U23" s="986"/>
      <c r="V23" s="1082" t="str">
        <f t="shared" si="3"/>
        <v>aAusstellerPLZ</v>
      </c>
      <c r="W23" s="988"/>
      <c r="X23" s="988"/>
      <c r="Y23" s="988"/>
    </row>
    <row r="24" spans="1:25" s="62" customFormat="1" ht="15" thickBot="1">
      <c r="A24" s="1050" t="s">
        <v>859</v>
      </c>
      <c r="B24" s="1011" t="s">
        <v>2538</v>
      </c>
      <c r="D24" s="996" t="str">
        <f t="shared" si="0"/>
        <v>ok</v>
      </c>
      <c r="L24" s="46" t="s">
        <v>888</v>
      </c>
      <c r="N24" s="1007" t="s">
        <v>3008</v>
      </c>
      <c r="O24" s="984"/>
      <c r="P24" s="1089"/>
      <c r="Q24" s="1087" t="s">
        <v>852</v>
      </c>
      <c r="R24" s="986"/>
      <c r="S24" s="1092" t="str">
        <f t="shared" si="1"/>
        <v>aAusstellerOrt</v>
      </c>
      <c r="T24" s="1092" t="str">
        <f t="shared" si="2"/>
        <v/>
      </c>
      <c r="U24" s="986"/>
      <c r="V24" s="1082" t="str">
        <f t="shared" si="3"/>
        <v>aAusstellerOrt</v>
      </c>
      <c r="W24" s="988"/>
      <c r="X24" s="988"/>
      <c r="Y24" s="988"/>
    </row>
    <row r="25" spans="1:25" s="62" customFormat="1" ht="15" thickBot="1">
      <c r="A25" s="702" t="s">
        <v>860</v>
      </c>
      <c r="B25" s="1107" t="s">
        <v>798</v>
      </c>
      <c r="D25" s="996" t="str">
        <f t="shared" si="0"/>
        <v>ok</v>
      </c>
      <c r="E25" s="1013"/>
      <c r="L25" s="46" t="s">
        <v>889</v>
      </c>
      <c r="N25" s="1007" t="s">
        <v>1028</v>
      </c>
      <c r="O25" s="984"/>
      <c r="P25" s="1089"/>
      <c r="Q25" s="1087" t="s">
        <v>853</v>
      </c>
      <c r="R25" s="986"/>
      <c r="S25" s="1092" t="str">
        <f t="shared" si="1"/>
        <v/>
      </c>
      <c r="T25" s="1092" t="str">
        <f t="shared" si="2"/>
        <v>aZusatzinfosbeigefuegt</v>
      </c>
      <c r="U25" s="986"/>
      <c r="V25" s="1082" t="str">
        <f t="shared" si="3"/>
        <v>aZusatzinfosbeigefuegt</v>
      </c>
      <c r="W25" s="988"/>
      <c r="X25" s="988"/>
      <c r="Y25" s="988"/>
    </row>
    <row r="26" spans="1:25" s="62" customFormat="1" ht="15" thickBot="1">
      <c r="A26" s="702" t="s">
        <v>861</v>
      </c>
      <c r="B26" s="1014" t="s">
        <v>890</v>
      </c>
      <c r="D26" s="996" t="str">
        <f t="shared" si="0"/>
        <v>ok</v>
      </c>
      <c r="L26" s="46" t="s">
        <v>3009</v>
      </c>
      <c r="N26" s="1007" t="s">
        <v>891</v>
      </c>
      <c r="O26" s="984"/>
      <c r="P26" s="1089"/>
      <c r="Q26" s="1087" t="s">
        <v>854</v>
      </c>
      <c r="R26" s="986"/>
      <c r="S26" s="1092" t="str">
        <f t="shared" si="1"/>
        <v/>
      </c>
      <c r="T26" s="1092" t="str">
        <f t="shared" si="2"/>
        <v/>
      </c>
      <c r="U26" s="986"/>
      <c r="V26" s="987"/>
      <c r="W26" s="1082" t="str">
        <f>GetCellName(B26)</f>
        <v>aAngabenerhaeltlich</v>
      </c>
      <c r="X26" s="988"/>
      <c r="Y26" s="1015"/>
    </row>
    <row r="27" spans="1:25" s="62" customFormat="1" ht="18" customHeight="1" thickBot="1">
      <c r="A27" s="990" t="s">
        <v>2636</v>
      </c>
      <c r="B27" s="991"/>
      <c r="C27" s="992"/>
      <c r="D27" s="993" t="str">
        <f ca="1">IF(COUNTA(D28:D54)=COUNTIF(D28:D54,"ok"),$W$1,"Fehler im Bereich "&amp;A27)</f>
        <v>Prüfung Format: ok</v>
      </c>
      <c r="E27" s="992"/>
      <c r="F27" s="992"/>
      <c r="G27" s="992"/>
      <c r="H27" s="992"/>
      <c r="I27" s="1"/>
      <c r="J27" s="122">
        <f>ROW(A28)</f>
        <v>28</v>
      </c>
      <c r="K27" s="122">
        <f>ROW(A54)</f>
        <v>54</v>
      </c>
      <c r="L27" s="46" t="s">
        <v>3010</v>
      </c>
      <c r="M27" s="122"/>
      <c r="N27" s="1008"/>
      <c r="O27" s="984"/>
      <c r="P27" s="1089" t="s">
        <v>3214</v>
      </c>
      <c r="Q27" s="1087"/>
      <c r="R27" s="986"/>
      <c r="S27" s="1092" t="str">
        <f t="shared" si="1"/>
        <v/>
      </c>
      <c r="T27" s="1092" t="str">
        <f t="shared" si="2"/>
        <v/>
      </c>
      <c r="U27" s="986"/>
      <c r="V27" s="987"/>
      <c r="W27" s="988"/>
      <c r="X27" s="988"/>
      <c r="Y27" s="988"/>
    </row>
    <row r="28" spans="1:25" s="62" customFormat="1" ht="15" thickBot="1">
      <c r="A28" s="995" t="s">
        <v>2753</v>
      </c>
      <c r="B28" s="1016" t="s">
        <v>3272</v>
      </c>
      <c r="D28" s="996" t="str">
        <f>Plausibilitaet(B28,N28)</f>
        <v>ok</v>
      </c>
      <c r="E28" s="1081" t="s">
        <v>3266</v>
      </c>
      <c r="H28" s="1052"/>
      <c r="L28" s="46" t="s">
        <v>3030</v>
      </c>
      <c r="N28" s="1002" t="s">
        <v>2760</v>
      </c>
      <c r="O28" s="984"/>
      <c r="P28" s="1017" t="s">
        <v>3215</v>
      </c>
      <c r="Q28" s="1087"/>
      <c r="R28" s="1017"/>
      <c r="S28" s="1092" t="str">
        <f t="shared" si="1"/>
        <v>aRechtsstand</v>
      </c>
      <c r="T28" s="1092" t="str">
        <f t="shared" si="2"/>
        <v/>
      </c>
      <c r="U28" s="986"/>
      <c r="V28" s="1083" t="str">
        <f>GetCellName(B28)</f>
        <v>aRechtsstand</v>
      </c>
      <c r="W28" s="1084"/>
      <c r="X28" s="988"/>
      <c r="Y28" s="988"/>
    </row>
    <row r="29" spans="1:25" s="62" customFormat="1" ht="66.599999999999994" thickBot="1">
      <c r="A29" s="1056" t="s">
        <v>3036</v>
      </c>
      <c r="B29" s="1051" t="s">
        <v>3490</v>
      </c>
      <c r="C29" s="727"/>
      <c r="D29" s="728" t="str">
        <f>IF(ISERROR(MATCH(B29,B226:B230,0)),"Angabe fehlt","ok")</f>
        <v>ok</v>
      </c>
      <c r="E29" s="954"/>
      <c r="F29" s="727"/>
      <c r="G29" s="727"/>
      <c r="H29" s="1075" t="s">
        <v>3059</v>
      </c>
      <c r="I29" s="727"/>
      <c r="J29" s="727"/>
      <c r="K29" s="727"/>
      <c r="L29" s="1053" t="s">
        <v>3037</v>
      </c>
      <c r="M29" s="727"/>
      <c r="N29" s="1054" t="s">
        <v>1010</v>
      </c>
      <c r="O29" s="951"/>
      <c r="P29" s="1055" t="s">
        <v>3215</v>
      </c>
      <c r="Q29" s="1088"/>
      <c r="R29" s="1055"/>
      <c r="S29" s="1092" t="str">
        <f t="shared" si="1"/>
        <v/>
      </c>
      <c r="T29" s="1092" t="str">
        <f t="shared" si="2"/>
        <v>aRechtsstandGrund</v>
      </c>
      <c r="U29" s="953"/>
      <c r="V29" s="1090" t="str">
        <f t="shared" ref="V29:V56" si="4">GetCellName(B29)</f>
        <v>aRechtsstandGrund</v>
      </c>
      <c r="W29" s="1084"/>
      <c r="X29" s="840"/>
      <c r="Y29" s="840"/>
    </row>
    <row r="30" spans="1:25" s="62" customFormat="1" ht="15" thickBot="1">
      <c r="A30" s="1057" t="s">
        <v>3035</v>
      </c>
      <c r="B30" s="1018" t="s">
        <v>3488</v>
      </c>
      <c r="D30" s="996" t="str">
        <f>Plausibilitaet(B30,N30)</f>
        <v>ok</v>
      </c>
      <c r="E30" s="1019"/>
      <c r="H30" s="1079"/>
      <c r="L30" s="46" t="s">
        <v>3061</v>
      </c>
      <c r="N30" s="983" t="s">
        <v>2756</v>
      </c>
      <c r="O30" s="984"/>
      <c r="P30" s="1017" t="s">
        <v>3215</v>
      </c>
      <c r="Q30" s="1087"/>
      <c r="R30" s="1017"/>
      <c r="S30" s="1092" t="str">
        <f t="shared" si="1"/>
        <v>aAusstellungsdatum</v>
      </c>
      <c r="T30" s="1092" t="str">
        <f t="shared" si="2"/>
        <v/>
      </c>
      <c r="U30" s="986"/>
      <c r="V30" s="1083" t="str">
        <f t="shared" si="4"/>
        <v>aAusstellungsdatum</v>
      </c>
      <c r="W30" s="1084"/>
      <c r="X30" s="988"/>
      <c r="Y30" s="988"/>
    </row>
    <row r="31" spans="1:25" s="62" customFormat="1" ht="15" thickBot="1">
      <c r="A31" s="702" t="s">
        <v>863</v>
      </c>
      <c r="B31" s="1107" t="s">
        <v>991</v>
      </c>
      <c r="D31" s="996" t="str">
        <f>IF(ISERROR(MATCH(B31,B232:B249,0)),"Angabe fehlt","ok")</f>
        <v>ok</v>
      </c>
      <c r="H31" s="1079"/>
      <c r="L31" s="46" t="s">
        <v>892</v>
      </c>
      <c r="N31" s="1007" t="s">
        <v>1010</v>
      </c>
      <c r="O31" s="984"/>
      <c r="P31" s="1089"/>
      <c r="Q31" s="1087" t="s">
        <v>863</v>
      </c>
      <c r="R31" s="986"/>
      <c r="S31" s="1092" t="str">
        <f t="shared" si="1"/>
        <v/>
      </c>
      <c r="T31" s="1092" t="str">
        <f t="shared" si="2"/>
        <v>aBundesland</v>
      </c>
      <c r="U31" s="986"/>
      <c r="V31" s="1083" t="str">
        <f t="shared" si="4"/>
        <v>aBundesland</v>
      </c>
      <c r="W31" s="988"/>
      <c r="X31" s="988"/>
      <c r="Y31" s="988"/>
    </row>
    <row r="32" spans="1:25" s="62" customFormat="1" ht="15" thickBot="1">
      <c r="A32" s="1050" t="s">
        <v>864</v>
      </c>
      <c r="B32" s="1094" t="str">
        <f>LEFT(B17,3)&amp;"XX"</f>
        <v>123XX</v>
      </c>
      <c r="D32" s="996" t="str">
        <f>Plausibilitaet(B32,N32)</f>
        <v>ok</v>
      </c>
      <c r="H32" s="1079"/>
      <c r="L32" s="46" t="s">
        <v>893</v>
      </c>
      <c r="M32" s="1012"/>
      <c r="N32" s="1007" t="s">
        <v>894</v>
      </c>
      <c r="O32" s="984"/>
      <c r="P32" s="1089"/>
      <c r="Q32" s="1087" t="s">
        <v>864</v>
      </c>
      <c r="R32" s="986"/>
      <c r="S32" s="1092" t="str">
        <f t="shared" si="1"/>
        <v/>
      </c>
      <c r="T32" s="1092" t="str">
        <f t="shared" si="2"/>
        <v/>
      </c>
      <c r="U32" s="986"/>
      <c r="V32" s="987"/>
      <c r="W32" s="1082" t="str">
        <f>GetCellName(B32)</f>
        <v>aPostleitzahl</v>
      </c>
      <c r="X32" s="988"/>
      <c r="Y32" s="988"/>
    </row>
    <row r="33" spans="1:25" s="62" customFormat="1" ht="15" thickBot="1">
      <c r="A33" s="1000" t="s">
        <v>895</v>
      </c>
      <c r="B33" s="1107" t="s">
        <v>918</v>
      </c>
      <c r="D33" s="996" t="str">
        <f>IF(ISERROR(MATCH(B33,G232:G234,0)),"Angabe fehlt","ok")</f>
        <v>ok</v>
      </c>
      <c r="H33" s="1079"/>
      <c r="L33" s="46" t="s">
        <v>3254</v>
      </c>
      <c r="N33" s="1007" t="s">
        <v>1010</v>
      </c>
      <c r="O33" s="984"/>
      <c r="P33" s="1089"/>
      <c r="Q33" s="1087" t="s">
        <v>865</v>
      </c>
      <c r="R33" s="986"/>
      <c r="S33" s="1092" t="str">
        <f t="shared" si="1"/>
        <v/>
      </c>
      <c r="T33" s="1092" t="str">
        <f t="shared" si="2"/>
        <v>aGebaeudeteil</v>
      </c>
      <c r="U33" s="986"/>
      <c r="V33" s="1083" t="str">
        <f t="shared" si="4"/>
        <v>aGebaeudeteil</v>
      </c>
      <c r="W33" s="988"/>
      <c r="X33" s="988"/>
      <c r="Y33" s="988"/>
    </row>
    <row r="34" spans="1:25" s="62" customFormat="1" ht="15" thickBot="1">
      <c r="A34" s="702" t="s">
        <v>2755</v>
      </c>
      <c r="B34" s="1011">
        <v>2021</v>
      </c>
      <c r="D34" s="996" t="str">
        <f>Plausibilitaet(B34,N34)</f>
        <v>ok</v>
      </c>
      <c r="H34" s="1079"/>
      <c r="L34" s="46" t="s">
        <v>905</v>
      </c>
      <c r="N34" s="983" t="s">
        <v>3013</v>
      </c>
      <c r="O34" s="984"/>
      <c r="P34" s="1089"/>
      <c r="Q34" s="1087" t="s">
        <v>866</v>
      </c>
      <c r="R34" s="986"/>
      <c r="S34" s="1092" t="str">
        <f t="shared" si="1"/>
        <v>aBaujahrGebaeude</v>
      </c>
      <c r="T34" s="1092" t="str">
        <f t="shared" si="2"/>
        <v/>
      </c>
      <c r="U34" s="986"/>
      <c r="V34" s="1083" t="str">
        <f t="shared" si="4"/>
        <v>aBaujahrGebaeude</v>
      </c>
      <c r="W34" s="988"/>
      <c r="X34" s="988"/>
      <c r="Y34" s="988"/>
    </row>
    <row r="35" spans="1:25" s="62" customFormat="1" ht="15" thickBot="1">
      <c r="A35" s="1050" t="s">
        <v>896</v>
      </c>
      <c r="B35" s="1107" t="s">
        <v>3046</v>
      </c>
      <c r="D35" s="996" t="str">
        <f>IF(ISERROR(MATCH(B35,$G$236:$G$247,0)),"Angabe fehlt","ok")</f>
        <v>ok</v>
      </c>
      <c r="H35" s="1079"/>
      <c r="L35" s="46" t="s">
        <v>906</v>
      </c>
      <c r="N35" s="1007" t="s">
        <v>1010</v>
      </c>
      <c r="O35" s="984"/>
      <c r="P35" s="1089"/>
      <c r="Q35" s="1087" t="s">
        <v>867</v>
      </c>
      <c r="R35" s="986"/>
      <c r="S35" s="1092" t="str">
        <f t="shared" si="1"/>
        <v/>
      </c>
      <c r="T35" s="1092" t="str">
        <f t="shared" si="2"/>
        <v>aAltersklasseGebaeude</v>
      </c>
      <c r="U35" s="986"/>
      <c r="V35" s="1083" t="str">
        <f t="shared" si="4"/>
        <v>aAltersklasseGebaeude</v>
      </c>
      <c r="W35" s="988"/>
      <c r="X35" s="988"/>
      <c r="Y35" s="988"/>
    </row>
    <row r="36" spans="1:25" s="62" customFormat="1" ht="15" thickBot="1">
      <c r="A36" s="702" t="s">
        <v>897</v>
      </c>
      <c r="B36" s="1011">
        <v>2021</v>
      </c>
      <c r="D36" s="996" t="str">
        <f>Plausibilitaet(B36,N36)</f>
        <v>ok</v>
      </c>
      <c r="H36" s="1079"/>
      <c r="L36" s="46" t="s">
        <v>907</v>
      </c>
      <c r="N36" s="983" t="s">
        <v>3014</v>
      </c>
      <c r="O36" s="984"/>
      <c r="P36" s="1089"/>
      <c r="Q36" s="1087" t="s">
        <v>868</v>
      </c>
      <c r="R36" s="986"/>
      <c r="S36" s="1092" t="str">
        <f t="shared" si="1"/>
        <v>aBaujahrWaermeerzeuger</v>
      </c>
      <c r="T36" s="1092" t="str">
        <f t="shared" si="2"/>
        <v/>
      </c>
      <c r="U36" s="986"/>
      <c r="V36" s="1083" t="str">
        <f t="shared" si="4"/>
        <v>aBaujahrWaermeerzeuger</v>
      </c>
      <c r="W36" s="988"/>
      <c r="X36" s="988"/>
      <c r="Y36" s="988"/>
    </row>
    <row r="37" spans="1:25" s="62" customFormat="1" ht="15" thickBot="1">
      <c r="A37" s="1050" t="s">
        <v>898</v>
      </c>
      <c r="B37" s="1107" t="s">
        <v>3046</v>
      </c>
      <c r="D37" s="996" t="str">
        <f>IF(ISERROR(MATCH(B37,$G$236:$G$247,0)),"Angabe fehlt","ok")</f>
        <v>ok</v>
      </c>
      <c r="H37" s="1079"/>
      <c r="L37" s="46" t="s">
        <v>908</v>
      </c>
      <c r="N37" s="1007" t="s">
        <v>1010</v>
      </c>
      <c r="O37" s="984"/>
      <c r="P37" s="1089"/>
      <c r="Q37" s="1087" t="s">
        <v>869</v>
      </c>
      <c r="R37" s="986"/>
      <c r="S37" s="1092" t="str">
        <f t="shared" si="1"/>
        <v/>
      </c>
      <c r="T37" s="1092" t="str">
        <f t="shared" si="2"/>
        <v>aAltersklasseWaermeerzeuger</v>
      </c>
      <c r="U37" s="986"/>
      <c r="V37" s="1083" t="str">
        <f t="shared" si="4"/>
        <v>aAltersklasseWaermeerzeuger</v>
      </c>
      <c r="W37" s="988"/>
      <c r="X37" s="988"/>
      <c r="Y37" s="988"/>
    </row>
    <row r="38" spans="1:25" s="62" customFormat="1" ht="15" thickBot="1">
      <c r="A38" s="1000" t="s">
        <v>3015</v>
      </c>
      <c r="B38" s="1011" t="s">
        <v>1047</v>
      </c>
      <c r="D38" s="996" t="str">
        <f>Plausibilitaet(B38,N38)</f>
        <v>ok</v>
      </c>
      <c r="H38" s="1079"/>
      <c r="L38" s="46" t="s">
        <v>3017</v>
      </c>
      <c r="N38" s="1007" t="s">
        <v>3020</v>
      </c>
      <c r="O38" s="984"/>
      <c r="P38" s="1089"/>
      <c r="Q38" s="1087" t="s">
        <v>3016</v>
      </c>
      <c r="R38" s="986"/>
      <c r="S38" s="1092" t="str">
        <f t="shared" si="1"/>
        <v>awesentlicheEnergietraegerHeizung</v>
      </c>
      <c r="T38" s="1092" t="str">
        <f t="shared" si="2"/>
        <v/>
      </c>
      <c r="U38" s="986"/>
      <c r="V38" s="1083" t="str">
        <f t="shared" si="4"/>
        <v>awesentlicheEnergietraegerHeizung</v>
      </c>
      <c r="W38" s="988"/>
      <c r="X38" s="988"/>
      <c r="Y38" s="988"/>
    </row>
    <row r="39" spans="1:25" s="62" customFormat="1" ht="15" thickBot="1">
      <c r="A39" s="1000" t="s">
        <v>3018</v>
      </c>
      <c r="B39" s="1011" t="s">
        <v>1047</v>
      </c>
      <c r="D39" s="996" t="str">
        <f>Plausibilitaet(B39,N39)</f>
        <v>ok</v>
      </c>
      <c r="H39" s="1079"/>
      <c r="L39" s="46" t="s">
        <v>3017</v>
      </c>
      <c r="N39" s="1007" t="s">
        <v>3020</v>
      </c>
      <c r="O39" s="984"/>
      <c r="P39" s="1089"/>
      <c r="Q39" s="1087" t="s">
        <v>3019</v>
      </c>
      <c r="R39" s="986"/>
      <c r="S39" s="1092" t="str">
        <f t="shared" si="1"/>
        <v>awesentlicheEnergietraegerWarmwasser</v>
      </c>
      <c r="T39" s="1092" t="str">
        <f t="shared" si="2"/>
        <v/>
      </c>
      <c r="U39" s="986"/>
      <c r="V39" s="1083" t="str">
        <f t="shared" si="4"/>
        <v>awesentlicheEnergietraegerWarmwasser</v>
      </c>
      <c r="W39" s="988"/>
      <c r="X39" s="988"/>
      <c r="Y39" s="988"/>
    </row>
    <row r="40" spans="1:25" s="62" customFormat="1" ht="15" thickBot="1">
      <c r="A40" s="1000" t="s">
        <v>899</v>
      </c>
      <c r="B40" s="1011" t="s">
        <v>919</v>
      </c>
      <c r="D40" s="996" t="str">
        <f>Plausibilitaet(B40,N40)</f>
        <v>ok</v>
      </c>
      <c r="H40" s="1079"/>
      <c r="L40" s="46" t="s">
        <v>909</v>
      </c>
      <c r="N40" s="1007" t="s">
        <v>3021</v>
      </c>
      <c r="O40" s="984"/>
      <c r="P40" s="1089"/>
      <c r="Q40" s="1087" t="s">
        <v>870</v>
      </c>
      <c r="R40" s="986"/>
      <c r="S40" s="1092" t="str">
        <f t="shared" si="1"/>
        <v>aErneuerbareArt</v>
      </c>
      <c r="T40" s="1092" t="str">
        <f t="shared" si="2"/>
        <v/>
      </c>
      <c r="U40" s="986"/>
      <c r="V40" s="1083" t="str">
        <f t="shared" si="4"/>
        <v>aErneuerbareArt</v>
      </c>
      <c r="W40" s="988"/>
      <c r="X40" s="988"/>
      <c r="Y40" s="988"/>
    </row>
    <row r="41" spans="1:25" s="62" customFormat="1" ht="15" thickBot="1">
      <c r="A41" s="1050" t="s">
        <v>900</v>
      </c>
      <c r="B41" s="1011" t="s">
        <v>920</v>
      </c>
      <c r="D41" s="996" t="str">
        <f>Plausibilitaet(B41,N41)</f>
        <v>ok</v>
      </c>
      <c r="H41" s="1079"/>
      <c r="L41" s="46" t="s">
        <v>910</v>
      </c>
      <c r="N41" s="1007" t="s">
        <v>3022</v>
      </c>
      <c r="O41" s="984"/>
      <c r="P41" s="1089"/>
      <c r="Q41" s="1087" t="s">
        <v>871</v>
      </c>
      <c r="R41" s="986"/>
      <c r="S41" s="1092" t="str">
        <f t="shared" si="1"/>
        <v>aErneuerbareVerwendung</v>
      </c>
      <c r="T41" s="1092" t="str">
        <f t="shared" si="2"/>
        <v/>
      </c>
      <c r="U41" s="986"/>
      <c r="V41" s="1083" t="str">
        <f t="shared" si="4"/>
        <v>aErneuerbareVerwendung</v>
      </c>
      <c r="W41" s="988"/>
      <c r="X41" s="988"/>
      <c r="Y41" s="988"/>
    </row>
    <row r="42" spans="1:25" s="62" customFormat="1" ht="15" thickBot="1">
      <c r="A42" s="702" t="s">
        <v>902</v>
      </c>
      <c r="B42" s="1107" t="s">
        <v>811</v>
      </c>
      <c r="D42" s="996" t="str">
        <f t="shared" ref="D42:D54" si="5">Plausibilitaet(B42,N42)</f>
        <v>ok</v>
      </c>
      <c r="H42" s="1079"/>
      <c r="L42" s="46" t="s">
        <v>911</v>
      </c>
      <c r="N42" s="1007" t="s">
        <v>1028</v>
      </c>
      <c r="O42" s="984"/>
      <c r="P42" s="1089"/>
      <c r="Q42" s="1087" t="s">
        <v>872</v>
      </c>
      <c r="R42" s="986"/>
      <c r="S42" s="1092" t="str">
        <f t="shared" si="1"/>
        <v/>
      </c>
      <c r="T42" s="1092" t="str">
        <f t="shared" si="2"/>
        <v>aLueftungsartFensterlueftung</v>
      </c>
      <c r="U42" s="986"/>
      <c r="V42" s="1083" t="str">
        <f t="shared" si="4"/>
        <v>aLueftungsartFensterlueftung</v>
      </c>
      <c r="W42" s="988"/>
      <c r="X42" s="988"/>
      <c r="Y42" s="988"/>
    </row>
    <row r="43" spans="1:25" s="62" customFormat="1" ht="15" thickBot="1">
      <c r="A43" s="1050" t="s">
        <v>924</v>
      </c>
      <c r="B43" s="1107" t="s">
        <v>798</v>
      </c>
      <c r="D43" s="996" t="str">
        <f t="shared" si="5"/>
        <v>ok</v>
      </c>
      <c r="H43" s="1079"/>
      <c r="L43" s="46" t="s">
        <v>912</v>
      </c>
      <c r="N43" s="1007" t="s">
        <v>1028</v>
      </c>
      <c r="O43" s="984"/>
      <c r="P43" s="1089"/>
      <c r="Q43" s="1087" t="s">
        <v>873</v>
      </c>
      <c r="R43" s="986"/>
      <c r="S43" s="1092" t="str">
        <f t="shared" si="1"/>
        <v/>
      </c>
      <c r="T43" s="1092" t="str">
        <f t="shared" si="2"/>
        <v>aLueftungsartSchachtlueftung</v>
      </c>
      <c r="U43" s="986"/>
      <c r="V43" s="1083" t="str">
        <f t="shared" si="4"/>
        <v>aLueftungsartSchachtlueftung</v>
      </c>
      <c r="W43" s="988"/>
      <c r="X43" s="988"/>
      <c r="Y43" s="988"/>
    </row>
    <row r="44" spans="1:25" s="62" customFormat="1" ht="15" thickBot="1">
      <c r="A44" s="1050" t="s">
        <v>1068</v>
      </c>
      <c r="B44" s="1107" t="s">
        <v>798</v>
      </c>
      <c r="D44" s="996" t="str">
        <f t="shared" si="5"/>
        <v>ok</v>
      </c>
      <c r="H44" s="1079"/>
      <c r="L44" s="46" t="s">
        <v>913</v>
      </c>
      <c r="N44" s="1007" t="s">
        <v>1028</v>
      </c>
      <c r="O44" s="984"/>
      <c r="P44" s="1089"/>
      <c r="Q44" s="1087" t="s">
        <v>874</v>
      </c>
      <c r="R44" s="986"/>
      <c r="S44" s="1092" t="str">
        <f t="shared" si="1"/>
        <v/>
      </c>
      <c r="T44" s="1092" t="str">
        <f t="shared" si="2"/>
        <v>aLueftungsartAnlageoWRG</v>
      </c>
      <c r="U44" s="986"/>
      <c r="V44" s="1083" t="str">
        <f t="shared" si="4"/>
        <v>aLueftungsartAnlageoWRG</v>
      </c>
      <c r="W44" s="988"/>
      <c r="X44" s="988"/>
      <c r="Y44" s="988"/>
    </row>
    <row r="45" spans="1:25" s="62" customFormat="1" ht="15" thickBot="1">
      <c r="A45" s="1050" t="s">
        <v>903</v>
      </c>
      <c r="B45" s="1107" t="s">
        <v>798</v>
      </c>
      <c r="D45" s="996" t="str">
        <f t="shared" si="5"/>
        <v>ok</v>
      </c>
      <c r="H45" s="1079"/>
      <c r="L45" s="46" t="s">
        <v>914</v>
      </c>
      <c r="N45" s="1007" t="s">
        <v>1028</v>
      </c>
      <c r="O45" s="984"/>
      <c r="P45" s="1089"/>
      <c r="Q45" s="1087" t="s">
        <v>875</v>
      </c>
      <c r="R45" s="986"/>
      <c r="S45" s="1092" t="str">
        <f t="shared" si="1"/>
        <v/>
      </c>
      <c r="T45" s="1092" t="str">
        <f t="shared" si="2"/>
        <v>aLueftungsartAnlagemWRG</v>
      </c>
      <c r="U45" s="986"/>
      <c r="V45" s="1083" t="str">
        <f t="shared" si="4"/>
        <v>aLueftungsartAnlagemWRG</v>
      </c>
      <c r="W45" s="988"/>
      <c r="X45" s="988"/>
      <c r="Y45" s="988"/>
    </row>
    <row r="46" spans="1:25" s="62" customFormat="1" ht="15" thickBot="1">
      <c r="A46" s="1050" t="s">
        <v>3024</v>
      </c>
      <c r="B46" s="1107" t="s">
        <v>798</v>
      </c>
      <c r="D46" s="996" t="str">
        <f t="shared" si="5"/>
        <v>ok</v>
      </c>
      <c r="E46" s="608"/>
      <c r="H46" s="1080" t="s">
        <v>3059</v>
      </c>
      <c r="L46" s="46" t="s">
        <v>3025</v>
      </c>
      <c r="N46" s="1007" t="s">
        <v>1028</v>
      </c>
      <c r="O46" s="984"/>
      <c r="P46" s="1089"/>
      <c r="Q46" s="1087" t="s">
        <v>3023</v>
      </c>
      <c r="R46" s="986"/>
      <c r="S46" s="1092" t="str">
        <f t="shared" si="1"/>
        <v/>
      </c>
      <c r="T46" s="1092" t="str">
        <f t="shared" si="2"/>
        <v>aKuehlungsartpassiveKuehlung</v>
      </c>
      <c r="U46" s="986"/>
      <c r="V46" s="1083" t="str">
        <f t="shared" si="4"/>
        <v>aKuehlungsartpassiveKuehlung</v>
      </c>
      <c r="W46" s="988"/>
      <c r="X46" s="988"/>
      <c r="Y46" s="988"/>
    </row>
    <row r="47" spans="1:25" s="62" customFormat="1" ht="15" thickBot="1">
      <c r="A47" s="1050" t="s">
        <v>3055</v>
      </c>
      <c r="B47" s="1107" t="s">
        <v>798</v>
      </c>
      <c r="D47" s="996" t="str">
        <f t="shared" si="5"/>
        <v>ok</v>
      </c>
      <c r="E47" s="608"/>
      <c r="H47" s="1080" t="s">
        <v>3059</v>
      </c>
      <c r="L47" s="46" t="s">
        <v>3053</v>
      </c>
      <c r="N47" s="1007" t="s">
        <v>1028</v>
      </c>
      <c r="O47" s="984"/>
      <c r="P47" s="1089"/>
      <c r="Q47" s="1087" t="s">
        <v>3047</v>
      </c>
      <c r="R47" s="986"/>
      <c r="S47" s="1092" t="str">
        <f t="shared" si="1"/>
        <v/>
      </c>
      <c r="T47" s="1092" t="str">
        <f t="shared" si="2"/>
        <v>aKuehlungsartStrom</v>
      </c>
      <c r="U47" s="986"/>
      <c r="V47" s="1083" t="str">
        <f t="shared" si="4"/>
        <v>aKuehlungsartStrom</v>
      </c>
      <c r="W47" s="988"/>
      <c r="X47" s="987"/>
      <c r="Y47" s="988"/>
    </row>
    <row r="48" spans="1:25" s="62" customFormat="1" ht="15" thickBot="1">
      <c r="A48" s="1050" t="s">
        <v>3056</v>
      </c>
      <c r="B48" s="1107" t="s">
        <v>798</v>
      </c>
      <c r="D48" s="996" t="str">
        <f t="shared" si="5"/>
        <v>ok</v>
      </c>
      <c r="E48" s="608"/>
      <c r="H48" s="1080" t="s">
        <v>3059</v>
      </c>
      <c r="L48" s="46" t="s">
        <v>3052</v>
      </c>
      <c r="N48" s="1007" t="s">
        <v>1028</v>
      </c>
      <c r="O48" s="984"/>
      <c r="P48" s="1089"/>
      <c r="Q48" s="1087" t="s">
        <v>3048</v>
      </c>
      <c r="R48" s="986"/>
      <c r="S48" s="1092" t="str">
        <f t="shared" si="1"/>
        <v/>
      </c>
      <c r="T48" s="1092" t="str">
        <f t="shared" si="2"/>
        <v>aKuehlungsartWaerme</v>
      </c>
      <c r="U48" s="986"/>
      <c r="V48" s="1083" t="str">
        <f t="shared" si="4"/>
        <v>aKuehlungsartWaerme</v>
      </c>
      <c r="W48" s="988"/>
      <c r="X48" s="987"/>
      <c r="Y48" s="988"/>
    </row>
    <row r="49" spans="1:25" s="62" customFormat="1" ht="15" thickBot="1">
      <c r="A49" s="1050" t="s">
        <v>3057</v>
      </c>
      <c r="B49" s="1107" t="s">
        <v>798</v>
      </c>
      <c r="D49" s="996" t="str">
        <f t="shared" si="5"/>
        <v>ok</v>
      </c>
      <c r="E49" s="608"/>
      <c r="H49" s="1080" t="s">
        <v>3059</v>
      </c>
      <c r="L49" s="46" t="s">
        <v>3051</v>
      </c>
      <c r="N49" s="1007" t="s">
        <v>1028</v>
      </c>
      <c r="O49" s="984"/>
      <c r="P49" s="1089"/>
      <c r="Q49" s="1087" t="s">
        <v>3049</v>
      </c>
      <c r="R49" s="986"/>
      <c r="S49" s="1092" t="str">
        <f t="shared" si="1"/>
        <v/>
      </c>
      <c r="T49" s="1092" t="str">
        <f t="shared" si="2"/>
        <v>aKuehlungsartgelieferteKaelte</v>
      </c>
      <c r="U49" s="986"/>
      <c r="V49" s="1083" t="str">
        <f t="shared" si="4"/>
        <v>aKuehlungsartgelieferteKaelte</v>
      </c>
      <c r="W49" s="987"/>
      <c r="X49" s="987"/>
      <c r="Y49" s="988"/>
    </row>
    <row r="50" spans="1:25" s="62" customFormat="1" ht="15" thickBot="1">
      <c r="A50" s="1050" t="s">
        <v>3058</v>
      </c>
      <c r="B50" s="1107" t="s">
        <v>811</v>
      </c>
      <c r="D50" s="996" t="str">
        <f t="shared" si="5"/>
        <v>ok</v>
      </c>
      <c r="E50" s="608"/>
      <c r="H50" s="1080" t="s">
        <v>3059</v>
      </c>
      <c r="L50" s="46" t="s">
        <v>3054</v>
      </c>
      <c r="N50" s="1007" t="s">
        <v>1028</v>
      </c>
      <c r="O50" s="984"/>
      <c r="P50" s="1089"/>
      <c r="Q50" s="1087" t="s">
        <v>3050</v>
      </c>
      <c r="R50" s="986"/>
      <c r="S50" s="1092" t="str">
        <f t="shared" si="1"/>
        <v/>
      </c>
      <c r="T50" s="1092" t="str">
        <f t="shared" si="2"/>
        <v>aKeineinspektionspflichtigeAnlage</v>
      </c>
      <c r="U50" s="986"/>
      <c r="V50" s="1083" t="str">
        <f t="shared" si="4"/>
        <v>aKeineinspektionspflichtigeAnlage</v>
      </c>
      <c r="W50" s="987"/>
      <c r="X50" s="987"/>
      <c r="Y50" s="988"/>
    </row>
    <row r="51" spans="1:25" s="62" customFormat="1" ht="16.2" thickBot="1">
      <c r="A51" s="702" t="s">
        <v>3034</v>
      </c>
      <c r="B51" s="1014" t="str">
        <f ca="1">TEXT(Gebaeude!I230,"0,00")</f>
        <v>10,51</v>
      </c>
      <c r="C51" s="62" t="s">
        <v>3221</v>
      </c>
      <c r="D51" s="996" t="str">
        <f ca="1">Plausibilitaet(B51,N51)</f>
        <v>ok</v>
      </c>
      <c r="E51" s="608"/>
      <c r="H51" s="1080" t="s">
        <v>3059</v>
      </c>
      <c r="L51" s="46" t="s">
        <v>3033</v>
      </c>
      <c r="N51" s="983" t="s">
        <v>3027</v>
      </c>
      <c r="O51" s="984"/>
      <c r="P51" s="1089"/>
      <c r="Q51" s="1087" t="s">
        <v>3026</v>
      </c>
      <c r="R51" s="986"/>
      <c r="S51" s="1092" t="str">
        <f t="shared" si="1"/>
        <v/>
      </c>
      <c r="T51" s="1092" t="str">
        <f t="shared" si="2"/>
        <v/>
      </c>
      <c r="U51" s="986"/>
      <c r="V51" s="987"/>
      <c r="W51" s="1082" t="str">
        <f>GetCellName(B51)</f>
        <v>aTreibhausgasemissionen</v>
      </c>
      <c r="X51" s="987"/>
      <c r="Y51" s="987"/>
    </row>
    <row r="52" spans="1:25" s="62" customFormat="1" ht="15" thickBot="1">
      <c r="A52" s="702" t="s">
        <v>876</v>
      </c>
      <c r="B52" s="1107" t="s">
        <v>1011</v>
      </c>
      <c r="D52" s="996" t="str">
        <f>IF(ISERROR(MATCH(B52,$B$251:$B$256,0)),"Angabe fehlt","ok")</f>
        <v>ok</v>
      </c>
      <c r="L52" s="46" t="s">
        <v>1082</v>
      </c>
      <c r="N52" s="1007" t="s">
        <v>1010</v>
      </c>
      <c r="O52" s="984"/>
      <c r="P52" s="1089"/>
      <c r="Q52" s="1087" t="s">
        <v>876</v>
      </c>
      <c r="R52" s="986"/>
      <c r="S52" s="1092" t="str">
        <f t="shared" si="1"/>
        <v/>
      </c>
      <c r="T52" s="1092" t="str">
        <f t="shared" si="2"/>
        <v>aAusstellungsanlass</v>
      </c>
      <c r="U52" s="986"/>
      <c r="V52" s="1083" t="str">
        <f t="shared" si="4"/>
        <v>aAusstellungsanlass</v>
      </c>
      <c r="W52" s="994"/>
      <c r="X52" s="994"/>
      <c r="Y52" s="994"/>
    </row>
    <row r="53" spans="1:25" s="62" customFormat="1" ht="15" thickBot="1">
      <c r="A53" s="702" t="s">
        <v>901</v>
      </c>
      <c r="B53" s="1107" t="s">
        <v>798</v>
      </c>
      <c r="D53" s="996" t="str">
        <f t="shared" si="5"/>
        <v>ok</v>
      </c>
      <c r="L53" s="46" t="s">
        <v>915</v>
      </c>
      <c r="N53" s="1007" t="s">
        <v>1028</v>
      </c>
      <c r="O53" s="984"/>
      <c r="P53" s="1089"/>
      <c r="Q53" s="1087" t="s">
        <v>877</v>
      </c>
      <c r="R53" s="986"/>
      <c r="S53" s="1092" t="str">
        <f t="shared" si="1"/>
        <v/>
      </c>
      <c r="T53" s="1092" t="str">
        <f t="shared" si="2"/>
        <v>aDatenerhebungAussteller</v>
      </c>
      <c r="U53" s="986"/>
      <c r="V53" s="1083" t="str">
        <f t="shared" si="4"/>
        <v>aDatenerhebungAussteller</v>
      </c>
      <c r="W53" s="994"/>
      <c r="X53" s="994"/>
      <c r="Y53" s="994"/>
    </row>
    <row r="54" spans="1:25" s="62" customFormat="1" ht="15" thickBot="1">
      <c r="A54" s="702" t="s">
        <v>904</v>
      </c>
      <c r="B54" s="1107" t="s">
        <v>811</v>
      </c>
      <c r="D54" s="996" t="str">
        <f t="shared" si="5"/>
        <v>ok</v>
      </c>
      <c r="L54" s="46" t="s">
        <v>916</v>
      </c>
      <c r="N54" s="1007" t="s">
        <v>1028</v>
      </c>
      <c r="O54" s="984"/>
      <c r="P54" s="1089"/>
      <c r="Q54" s="1087" t="s">
        <v>878</v>
      </c>
      <c r="R54" s="986"/>
      <c r="S54" s="1092" t="str">
        <f t="shared" si="1"/>
        <v/>
      </c>
      <c r="T54" s="1092" t="str">
        <f t="shared" si="2"/>
        <v>aDatenerhebungEigentuemer</v>
      </c>
      <c r="U54" s="986"/>
      <c r="V54" s="1083" t="str">
        <f t="shared" si="4"/>
        <v>aDatenerhebungEigentuemer</v>
      </c>
      <c r="W54" s="994"/>
      <c r="X54" s="994"/>
      <c r="Y54" s="994"/>
    </row>
    <row r="55" spans="1:25" s="62" customFormat="1" ht="17.399999999999999" customHeight="1" thickBot="1">
      <c r="A55" s="990" t="s">
        <v>2637</v>
      </c>
      <c r="B55" s="991"/>
      <c r="C55" s="992"/>
      <c r="D55" s="993" t="str">
        <f ca="1">IF(COUNTA(D56:D58)=COUNTIF(D56:D58,"ok"),$W$1,"Fehler im Bereich "&amp;A55)</f>
        <v>Prüfung Format: ok</v>
      </c>
      <c r="E55" s="992"/>
      <c r="F55" s="992"/>
      <c r="G55" s="992"/>
      <c r="H55" s="992"/>
      <c r="I55" s="1"/>
      <c r="J55" s="122">
        <f>ROW(A56)</f>
        <v>56</v>
      </c>
      <c r="K55" s="122">
        <f>ROW(A58)</f>
        <v>58</v>
      </c>
      <c r="L55" s="46" t="s">
        <v>1015</v>
      </c>
      <c r="M55" s="122"/>
      <c r="N55" s="1008"/>
      <c r="O55" s="984"/>
      <c r="P55" s="1089" t="s">
        <v>925</v>
      </c>
      <c r="Q55" s="1087"/>
      <c r="R55" s="986"/>
      <c r="S55" s="1092" t="str">
        <f t="shared" si="1"/>
        <v/>
      </c>
      <c r="T55" s="1092" t="str">
        <f t="shared" si="2"/>
        <v/>
      </c>
      <c r="U55" s="986"/>
      <c r="V55" s="994"/>
      <c r="W55" s="994"/>
      <c r="X55" s="994"/>
      <c r="Y55" s="994"/>
    </row>
    <row r="56" spans="1:25" s="62" customFormat="1" ht="15" thickBot="1">
      <c r="A56" s="702" t="s">
        <v>930</v>
      </c>
      <c r="B56" s="1020" t="s">
        <v>2683</v>
      </c>
      <c r="D56" s="996" t="str">
        <f>IF(ISERROR(MATCH(B56,$G$251:$G$255,0)),"Angabe fehlt","ok")</f>
        <v>ok</v>
      </c>
      <c r="L56" s="46" t="s">
        <v>1016</v>
      </c>
      <c r="N56" s="983" t="s">
        <v>1010</v>
      </c>
      <c r="O56" s="984"/>
      <c r="P56" s="1089"/>
      <c r="Q56" s="1087" t="s">
        <v>926</v>
      </c>
      <c r="R56" s="986"/>
      <c r="S56" s="1092" t="str">
        <f t="shared" si="1"/>
        <v/>
      </c>
      <c r="T56" s="1092" t="str">
        <f t="shared" si="2"/>
        <v>aGebaeudetyp</v>
      </c>
      <c r="U56" s="986"/>
      <c r="V56" s="1083" t="str">
        <f t="shared" si="4"/>
        <v>aGebaeudetyp</v>
      </c>
      <c r="W56" s="994"/>
      <c r="X56" s="994"/>
      <c r="Y56" s="994"/>
    </row>
    <row r="57" spans="1:25" s="62" customFormat="1">
      <c r="A57" s="702" t="s">
        <v>1799</v>
      </c>
      <c r="B57" s="1014">
        <f>gWoE</f>
        <v>1</v>
      </c>
      <c r="D57" s="996" t="str">
        <f>Plausibilitaet(B57,N57)</f>
        <v>ok</v>
      </c>
      <c r="L57" s="46" t="s">
        <v>1019</v>
      </c>
      <c r="N57" s="983" t="s">
        <v>2765</v>
      </c>
      <c r="O57" s="984"/>
      <c r="P57" s="1089"/>
      <c r="Q57" s="1087" t="s">
        <v>927</v>
      </c>
      <c r="R57" s="986"/>
      <c r="S57" s="1092" t="str">
        <f t="shared" si="1"/>
        <v/>
      </c>
      <c r="T57" s="1092" t="str">
        <f t="shared" si="2"/>
        <v/>
      </c>
      <c r="U57" s="986"/>
      <c r="V57" s="994"/>
      <c r="W57" s="1082" t="str">
        <f t="shared" ref="W57:W58" si="6">GetCellName(B57)</f>
        <v>aAnzahlWohneinheiten</v>
      </c>
      <c r="X57" s="994"/>
      <c r="Y57" s="994"/>
    </row>
    <row r="58" spans="1:25" s="62" customFormat="1" ht="15" thickBot="1">
      <c r="A58" s="702" t="s">
        <v>1066</v>
      </c>
      <c r="B58" s="1014" t="str">
        <f ca="1">TEXT(Gebaeude!F9,"0")</f>
        <v>214</v>
      </c>
      <c r="D58" s="996" t="str">
        <f ca="1">Plausibilitaet(B58,N58)</f>
        <v>ok</v>
      </c>
      <c r="L58" s="46" t="s">
        <v>1020</v>
      </c>
      <c r="N58" s="983" t="s">
        <v>2765</v>
      </c>
      <c r="O58" s="984"/>
      <c r="P58" s="1089"/>
      <c r="Q58" s="1087" t="s">
        <v>928</v>
      </c>
      <c r="R58" s="986"/>
      <c r="S58" s="1092" t="str">
        <f t="shared" si="1"/>
        <v/>
      </c>
      <c r="T58" s="1092" t="str">
        <f t="shared" si="2"/>
        <v/>
      </c>
      <c r="U58" s="986"/>
      <c r="V58" s="994"/>
      <c r="W58" s="1082" t="str">
        <f t="shared" si="6"/>
        <v>aGebaeudenutzflaeche</v>
      </c>
      <c r="X58" s="994"/>
      <c r="Y58" s="994"/>
    </row>
    <row r="59" spans="1:25" s="62" customFormat="1" ht="17.399999999999999" customHeight="1" thickBot="1">
      <c r="A59" s="990" t="s">
        <v>2638</v>
      </c>
      <c r="B59" s="991"/>
      <c r="C59" s="992"/>
      <c r="D59" s="993" t="str">
        <f ca="1">IF(COUNTA(D60:D62)=COUNTIF(D60:D62,"ok"),$W$1,"Fehler im Bereich "&amp;A59)</f>
        <v>Prüfung Format: ok</v>
      </c>
      <c r="E59" s="992"/>
      <c r="F59" s="992"/>
      <c r="G59" s="992"/>
      <c r="H59" s="992"/>
      <c r="I59" s="1"/>
      <c r="J59" s="122">
        <f>ROW(A60)</f>
        <v>60</v>
      </c>
      <c r="K59" s="122">
        <f>ROW(A62)</f>
        <v>62</v>
      </c>
      <c r="L59" s="46" t="s">
        <v>1021</v>
      </c>
      <c r="M59" s="122"/>
      <c r="N59" s="1008"/>
      <c r="O59" s="984"/>
      <c r="P59" s="1089" t="s">
        <v>931</v>
      </c>
      <c r="Q59" s="1087"/>
      <c r="R59" s="986"/>
      <c r="S59" s="1092" t="str">
        <f t="shared" si="1"/>
        <v/>
      </c>
      <c r="T59" s="1092" t="str">
        <f t="shared" si="2"/>
        <v/>
      </c>
      <c r="U59" s="986"/>
      <c r="V59" s="994"/>
      <c r="W59" s="994"/>
      <c r="X59" s="994"/>
      <c r="Y59" s="1021">
        <v>1912</v>
      </c>
    </row>
    <row r="60" spans="1:25" s="62" customFormat="1" ht="15" thickBot="1">
      <c r="A60" s="702" t="s">
        <v>1069</v>
      </c>
      <c r="B60" s="1107" t="s">
        <v>933</v>
      </c>
      <c r="D60" s="996" t="str">
        <f>IF(AND(Y60=0,B60=""),"ok",IF(ISERROR(MATCH(B60,B258:B260,0)),"Angabe fehlt","ok"))</f>
        <v>ok</v>
      </c>
      <c r="L60" s="46" t="s">
        <v>1022</v>
      </c>
      <c r="N60" s="983" t="s">
        <v>1010</v>
      </c>
      <c r="O60" s="984"/>
      <c r="P60" s="1089"/>
      <c r="Q60" s="1087" t="s">
        <v>932</v>
      </c>
      <c r="R60" s="986"/>
      <c r="S60" s="1092" t="str">
        <f t="shared" si="1"/>
        <v/>
      </c>
      <c r="T60" s="1092" t="str">
        <f t="shared" si="2"/>
        <v>aWohngebaeudeAnbaugrad</v>
      </c>
      <c r="U60" s="986"/>
      <c r="V60" s="1083" t="str">
        <f t="shared" ref="V60" si="7">GetCellName(B60)</f>
        <v>aWohngebaeudeAnbaugrad</v>
      </c>
      <c r="W60" s="994"/>
      <c r="X60" s="994"/>
      <c r="Y60" s="1015">
        <v>1</v>
      </c>
    </row>
    <row r="61" spans="1:25" s="62" customFormat="1">
      <c r="A61" s="995" t="s">
        <v>3028</v>
      </c>
      <c r="B61" s="1014" t="str">
        <f ca="1">TEXT(Gebaeude!F7,"0")</f>
        <v>668</v>
      </c>
      <c r="D61" s="996" t="str">
        <f ca="1">IF(AND(Y61=0,B61=""),"ok",Plausibilitaet(B61,N61))</f>
        <v>ok</v>
      </c>
      <c r="L61" s="46" t="s">
        <v>3060</v>
      </c>
      <c r="N61" s="983" t="s">
        <v>2765</v>
      </c>
      <c r="O61" s="984"/>
      <c r="P61" s="1087"/>
      <c r="Q61" s="1087" t="s">
        <v>3184</v>
      </c>
      <c r="R61" s="986"/>
      <c r="S61" s="1092" t="str">
        <f t="shared" si="1"/>
        <v/>
      </c>
      <c r="T61" s="1092" t="str">
        <f t="shared" si="2"/>
        <v/>
      </c>
      <c r="U61" s="986"/>
      <c r="V61" s="994"/>
      <c r="W61" s="1082" t="str">
        <f t="shared" ref="W61:W62" si="8">GetCellName(B61)</f>
        <v>aBruttovolumen</v>
      </c>
      <c r="X61" s="994"/>
      <c r="Y61" s="1015">
        <v>1</v>
      </c>
    </row>
    <row r="62" spans="1:25" s="62" customFormat="1" ht="15" thickBot="1">
      <c r="A62" s="702" t="s">
        <v>1070</v>
      </c>
      <c r="B62" s="1014" t="str">
        <f>TEXT(Gebaeude!F8,"0,00")</f>
        <v>2,75</v>
      </c>
      <c r="D62" s="996" t="str">
        <f>IF(AND(Y62=0,B62=""),"ok",Plausibilitaet(B62,N62))</f>
        <v>ok</v>
      </c>
      <c r="L62" s="46" t="s">
        <v>3185</v>
      </c>
      <c r="N62" s="983" t="s">
        <v>2757</v>
      </c>
      <c r="O62" s="984"/>
      <c r="P62" s="1087"/>
      <c r="Q62" s="1087" t="s">
        <v>934</v>
      </c>
      <c r="R62" s="986"/>
      <c r="S62" s="1092" t="str">
        <f t="shared" si="1"/>
        <v/>
      </c>
      <c r="T62" s="1092" t="str">
        <f t="shared" si="2"/>
        <v/>
      </c>
      <c r="U62" s="986"/>
      <c r="V62" s="994"/>
      <c r="W62" s="1082" t="str">
        <f t="shared" si="8"/>
        <v>adurchschnittlicheGeschosshoehe</v>
      </c>
      <c r="X62" s="994"/>
      <c r="Y62" s="1015">
        <v>1</v>
      </c>
    </row>
    <row r="63" spans="1:25" s="62" customFormat="1" ht="18" customHeight="1" thickBot="1">
      <c r="A63" s="990" t="s">
        <v>2639</v>
      </c>
      <c r="B63" s="1022" t="s">
        <v>2502</v>
      </c>
      <c r="C63" s="992"/>
      <c r="D63" s="993" t="str">
        <f ca="1">IF(COUNTA(E65:H114)=COUNTIF(E65:H114,"ok")+COUNTIF(E65:H114,""),$W$1,"Fehler im Bereich "&amp;A63)</f>
        <v>Prüfung Format: ok</v>
      </c>
      <c r="E63" s="1023"/>
      <c r="F63" s="1023"/>
      <c r="G63" s="1023"/>
      <c r="H63" s="992"/>
      <c r="I63" s="1"/>
      <c r="J63" s="122">
        <f>ROW(A64)</f>
        <v>64</v>
      </c>
      <c r="K63" s="122">
        <f>ROW(A114)</f>
        <v>114</v>
      </c>
      <c r="L63" s="46" t="s">
        <v>3084</v>
      </c>
      <c r="M63" s="122"/>
      <c r="N63" s="983"/>
      <c r="O63" s="984"/>
      <c r="P63" s="985"/>
      <c r="Q63" s="985"/>
      <c r="R63" s="986"/>
      <c r="S63" s="986"/>
      <c r="T63" s="986"/>
      <c r="U63" s="986"/>
      <c r="V63" s="987"/>
      <c r="W63" s="988"/>
      <c r="X63" s="988"/>
      <c r="Y63" s="988"/>
    </row>
    <row r="64" spans="1:25" s="62" customFormat="1">
      <c r="A64" s="1024" t="s">
        <v>954</v>
      </c>
      <c r="B64" s="1025" t="s">
        <v>952</v>
      </c>
      <c r="C64" s="1025" t="s">
        <v>953</v>
      </c>
      <c r="D64" s="1026" t="s">
        <v>986</v>
      </c>
      <c r="E64" s="1027" t="s">
        <v>819</v>
      </c>
      <c r="F64" s="1027" t="s">
        <v>0</v>
      </c>
      <c r="G64" s="1027" t="s">
        <v>814</v>
      </c>
      <c r="H64" s="1027" t="s">
        <v>1064</v>
      </c>
      <c r="L64" s="46"/>
      <c r="N64" s="983"/>
      <c r="O64" s="984"/>
      <c r="P64" s="985"/>
      <c r="Q64" s="985"/>
      <c r="R64" s="1028" t="s">
        <v>1678</v>
      </c>
      <c r="S64" s="1028" t="s">
        <v>2736</v>
      </c>
      <c r="T64" s="1028" t="s">
        <v>2740</v>
      </c>
      <c r="U64" s="986"/>
      <c r="V64" s="1007" t="s">
        <v>3085</v>
      </c>
      <c r="W64" s="983" t="s">
        <v>2763</v>
      </c>
      <c r="X64" s="983" t="s">
        <v>2768</v>
      </c>
      <c r="Y64" s="983" t="s">
        <v>2769</v>
      </c>
    </row>
    <row r="65" spans="1:25" s="62" customFormat="1">
      <c r="A65" s="1014" t="str">
        <f ca="1">LEFT(IF($N65&lt;&gt;0,$N65&amp;": "&amp;VLOOKUP($N65,Gebaeude!$B$18:$G$95,2,FALSE)&amp;" "&amp;VLOOKUP($N65,Gebaeude!$B$18:$G$95,4,FALSE),""),40)</f>
        <v>AW 1: Nord 90°</v>
      </c>
      <c r="B65" s="1014" t="str">
        <f ca="1">IF($N65&lt;&gt;0,TEXT(VLOOKUP($N65,Gebaeude!$B$18:$G$95,5,FALSE),"0"),0)</f>
        <v>36</v>
      </c>
      <c r="C65" s="1014" t="str">
        <f ca="1">IF($N65&lt;&gt;0,TEXT(VLOOKUP($N65,Gebaeude!$B$18:$G$95,6,FALSE),"0,000"),"")</f>
        <v>0,211</v>
      </c>
      <c r="D65" s="134" t="str">
        <f ca="1">IF(AND($N65&lt;&gt;0, LEFT($N65,1)="W"),TEXT(VLOOKUP($N65,Gebaeude!$B$131:$F$142,5,FALSE),"0,00"),"")</f>
        <v/>
      </c>
      <c r="E65" s="996" t="str">
        <f t="shared" ref="E65:E96" ca="1" si="9">IF(AND($B65&gt;0,$B65&lt;&gt;""),Plausibilitaet(A65,V$64),"")</f>
        <v>ok</v>
      </c>
      <c r="F65" s="996" t="str">
        <f t="shared" ref="F65:F96" ca="1" si="10">IF(AND($B65&gt;0,$B65&lt;&gt;""),Plausibilitaet(B65,W$64),"")</f>
        <v>ok</v>
      </c>
      <c r="G65" s="996" t="str">
        <f t="shared" ref="G65:G96" ca="1" si="11">IF(AND($B65&gt;0,$B65&lt;&gt;""),Plausibilitaet(C65,X$64),"")</f>
        <v>ok</v>
      </c>
      <c r="H65" s="996" t="str">
        <f t="shared" ref="H65:H96" ca="1" si="12">IF(AND($B65&gt;0, LEFT($N65,1)="W"),Plausibilitaet(D65,Y$64),"")</f>
        <v/>
      </c>
      <c r="L65" s="46" t="s">
        <v>2507</v>
      </c>
      <c r="N65" s="983" t="str">
        <f t="array" aca="1" ref="N65:N114" ca="1">SortiereBauteile(Gebaeude!B18:F95)</f>
        <v>AW 1</v>
      </c>
      <c r="O65" s="984"/>
      <c r="P65" s="1029" t="str">
        <f ca="1">IF($N65&lt;&gt;0,TEXT(VLOOKUP($N65,Gebaeude!$B$18:$G$95,2,FALSE),"0"),0)</f>
        <v>Nord</v>
      </c>
      <c r="Q65" s="985"/>
      <c r="R65" s="1030" t="str">
        <f t="shared" ref="R65:R96" ca="1" si="13">IF($N65&lt;&gt;0,VLOOKUP(LEFT(N65,2),$V$88:$W$96,2,FALSE),0)</f>
        <v>Opak</v>
      </c>
      <c r="S65" s="1030" t="str">
        <f t="shared" ref="S65:S96" ca="1" si="14">IF(ISERROR(MATCH(P65,$V$67:$V$75,0))=FALSE,VLOOKUP(P65,$V$67:$W$75,2,FALSE),"N")</f>
        <v>N</v>
      </c>
      <c r="T65" s="1030" t="str">
        <f t="shared" ref="T65:T96" ca="1" si="15">IF($N65&lt;&gt;0,VLOOKUP(LEFT(N65,2),$V$88:$X$96,3,FALSE),0)</f>
        <v>Aussenluft</v>
      </c>
      <c r="U65" s="986"/>
      <c r="V65" s="1002" t="s">
        <v>2754</v>
      </c>
      <c r="W65" s="988"/>
      <c r="X65" s="983"/>
      <c r="Y65" s="988"/>
    </row>
    <row r="66" spans="1:25" s="62" customFormat="1" ht="15" thickBot="1">
      <c r="A66" s="1014" t="str">
        <f ca="1">LEFT(IF($N66&lt;&gt;0,$N66&amp;": "&amp;VLOOKUP($N66,Gebaeude!$B$18:$G$95,2,FALSE)&amp;" "&amp;VLOOKUP($N66,Gebaeude!$B$18:$G$95,4,FALSE),""),40)</f>
        <v>T 1: Nord 90°</v>
      </c>
      <c r="B66" s="1014" t="str">
        <f ca="1">IF($N66&lt;&gt;0,TEXT(VLOOKUP($N66,Gebaeude!$B$18:$G$95,5,FALSE),"0"),0)</f>
        <v>4</v>
      </c>
      <c r="C66" s="1014" t="str">
        <f ca="1">IF($N66&lt;&gt;0,TEXT(VLOOKUP($N66,Gebaeude!$B$18:$G$95,6,FALSE),"0,000"),"")</f>
        <v>1,800</v>
      </c>
      <c r="D66" s="134" t="str">
        <f ca="1">IF(AND($N66&lt;&gt;0, LEFT($N66,1)="W"),TEXT(VLOOKUP($N66,Gebaeude!$B$131:$F$142,5,FALSE),"0,00"),"")</f>
        <v/>
      </c>
      <c r="E66" s="996" t="str">
        <f t="shared" ca="1" si="9"/>
        <v>ok</v>
      </c>
      <c r="F66" s="996" t="str">
        <f t="shared" ca="1" si="10"/>
        <v>ok</v>
      </c>
      <c r="G66" s="996" t="str">
        <f t="shared" ca="1" si="11"/>
        <v>ok</v>
      </c>
      <c r="H66" s="996" t="str">
        <f t="shared" ca="1" si="12"/>
        <v/>
      </c>
      <c r="L66" s="46" t="s">
        <v>2508</v>
      </c>
      <c r="N66" s="983" t="str">
        <f ca="1"/>
        <v>T 1</v>
      </c>
      <c r="O66" s="984"/>
      <c r="P66" s="1029" t="str">
        <f ca="1">IF($N66&lt;&gt;0,TEXT(VLOOKUP($N66,Gebaeude!$B$18:$G$95,2,FALSE),"0"),0)</f>
        <v>Nord</v>
      </c>
      <c r="Q66" s="985"/>
      <c r="R66" s="1030" t="str">
        <f t="shared" ca="1" si="13"/>
        <v>Opak</v>
      </c>
      <c r="S66" s="1030" t="str">
        <f t="shared" ca="1" si="14"/>
        <v>N</v>
      </c>
      <c r="T66" s="1030" t="str">
        <f t="shared" ca="1" si="15"/>
        <v>Aussenluft</v>
      </c>
      <c r="U66" s="986"/>
      <c r="V66" s="987"/>
      <c r="W66" s="1007" t="s">
        <v>3182</v>
      </c>
      <c r="X66" s="988"/>
      <c r="Y66" s="983"/>
    </row>
    <row r="67" spans="1:25" s="62" customFormat="1">
      <c r="A67" s="1014" t="str">
        <f ca="1">LEFT(IF($N67&lt;&gt;0,$N67&amp;": "&amp;VLOOKUP($N67,Gebaeude!$B$18:$G$95,2,FALSE)&amp;" "&amp;VLOOKUP($N67,Gebaeude!$B$18:$G$95,4,FALSE),""),40)</f>
        <v>AW 4: Ost 90°</v>
      </c>
      <c r="B67" s="1014" t="str">
        <f ca="1">IF($N67&lt;&gt;0,TEXT(VLOOKUP($N67,Gebaeude!$B$18:$G$95,5,FALSE),"0"),0)</f>
        <v>37</v>
      </c>
      <c r="C67" s="1014" t="str">
        <f ca="1">IF($N67&lt;&gt;0,TEXT(VLOOKUP($N67,Gebaeude!$B$18:$G$95,6,FALSE),"0,000"),"")</f>
        <v>0,211</v>
      </c>
      <c r="D67" s="134" t="str">
        <f ca="1">IF(AND($N67&lt;&gt;0, LEFT($N67,1)="W"),TEXT(VLOOKUP($N67,Gebaeude!$B$131:$F$142,5,FALSE),"0,00"),"")</f>
        <v/>
      </c>
      <c r="E67" s="996" t="str">
        <f t="shared" ca="1" si="9"/>
        <v>ok</v>
      </c>
      <c r="F67" s="996" t="str">
        <f t="shared" ca="1" si="10"/>
        <v>ok</v>
      </c>
      <c r="G67" s="996" t="str">
        <f t="shared" ca="1" si="11"/>
        <v>ok</v>
      </c>
      <c r="H67" s="996" t="str">
        <f t="shared" ca="1" si="12"/>
        <v/>
      </c>
      <c r="L67" s="46" t="s">
        <v>2500</v>
      </c>
      <c r="N67" s="983" t="str">
        <f ca="1"/>
        <v>AW 4</v>
      </c>
      <c r="O67" s="984"/>
      <c r="P67" s="1029" t="str">
        <f ca="1">IF($N67&lt;&gt;0,TEXT(VLOOKUP($N67,Gebaeude!$B$18:$G$95,2,FALSE),"0"),0)</f>
        <v>Ost</v>
      </c>
      <c r="Q67" s="985"/>
      <c r="R67" s="1030" t="str">
        <f t="shared" ca="1" si="13"/>
        <v>Opak</v>
      </c>
      <c r="S67" s="1030" t="str">
        <f t="shared" ca="1" si="14"/>
        <v>O</v>
      </c>
      <c r="T67" s="1030" t="str">
        <f t="shared" ca="1" si="15"/>
        <v>Aussenluft</v>
      </c>
      <c r="U67" s="986"/>
      <c r="V67" s="983" t="s">
        <v>12</v>
      </c>
      <c r="W67" s="1031" t="s">
        <v>2732</v>
      </c>
      <c r="X67" s="988"/>
      <c r="Y67" s="983"/>
    </row>
    <row r="68" spans="1:25" s="62" customFormat="1">
      <c r="A68" s="1014" t="str">
        <f ca="1">LEFT(IF($N68&lt;&gt;0,$N68&amp;": "&amp;VLOOKUP($N68,Gebaeude!$B$18:$G$95,2,FALSE)&amp;" "&amp;VLOOKUP($N68,Gebaeude!$B$18:$G$95,4,FALSE),""),40)</f>
        <v>AW 3: Süd 90°</v>
      </c>
      <c r="B68" s="1014" t="str">
        <f ca="1">IF($N68&lt;&gt;0,TEXT(VLOOKUP($N68,Gebaeude!$B$18:$G$95,5,FALSE),"0"),0)</f>
        <v>33</v>
      </c>
      <c r="C68" s="1014" t="str">
        <f ca="1">IF($N68&lt;&gt;0,TEXT(VLOOKUP($N68,Gebaeude!$B$18:$G$95,6,FALSE),"0,000"),"")</f>
        <v>0,211</v>
      </c>
      <c r="D68" s="134" t="str">
        <f ca="1">IF(AND($N68&lt;&gt;0, LEFT($N68,1)="W"),TEXT(VLOOKUP($N68,Gebaeude!$B$131:$F$142,5,FALSE),"0,00"),"")</f>
        <v/>
      </c>
      <c r="E68" s="996" t="str">
        <f t="shared" ca="1" si="9"/>
        <v>ok</v>
      </c>
      <c r="F68" s="996" t="str">
        <f t="shared" ca="1" si="10"/>
        <v>ok</v>
      </c>
      <c r="G68" s="996" t="str">
        <f t="shared" ca="1" si="11"/>
        <v>ok</v>
      </c>
      <c r="H68" s="996" t="str">
        <f t="shared" ca="1" si="12"/>
        <v/>
      </c>
      <c r="L68" s="46" t="s">
        <v>2501</v>
      </c>
      <c r="N68" s="983" t="str">
        <f ca="1"/>
        <v>AW 3</v>
      </c>
      <c r="O68" s="984"/>
      <c r="P68" s="1029" t="str">
        <f ca="1">IF($N68&lt;&gt;0,TEXT(VLOOKUP($N68,Gebaeude!$B$18:$G$95,2,FALSE),"0"),0)</f>
        <v>Süd</v>
      </c>
      <c r="Q68" s="985"/>
      <c r="R68" s="1030" t="str">
        <f t="shared" ca="1" si="13"/>
        <v>Opak</v>
      </c>
      <c r="S68" s="1030" t="str">
        <f t="shared" ca="1" si="14"/>
        <v>S</v>
      </c>
      <c r="T68" s="1030" t="str">
        <f t="shared" ca="1" si="15"/>
        <v>Aussenluft</v>
      </c>
      <c r="U68" s="986"/>
      <c r="V68" s="983" t="s">
        <v>11</v>
      </c>
      <c r="W68" s="1032" t="s">
        <v>2725</v>
      </c>
      <c r="X68" s="988"/>
      <c r="Y68" s="1007" t="s">
        <v>3183</v>
      </c>
    </row>
    <row r="69" spans="1:25" s="62" customFormat="1" ht="15" thickBot="1">
      <c r="A69" s="1014" t="str">
        <f ca="1">LEFT(IF($N69&lt;&gt;0,$N69&amp;": "&amp;VLOOKUP($N69,Gebaeude!$B$18:$G$95,2,FALSE)&amp;" "&amp;VLOOKUP($N69,Gebaeude!$B$18:$G$95,4,FALSE),""),40)</f>
        <v>AW 2: West 90°</v>
      </c>
      <c r="B69" s="1014" t="str">
        <f ca="1">IF($N69&lt;&gt;0,TEXT(VLOOKUP($N69,Gebaeude!$B$18:$G$95,5,FALSE),"0"),0)</f>
        <v>37</v>
      </c>
      <c r="C69" s="1014" t="str">
        <f ca="1">IF($N69&lt;&gt;0,TEXT(VLOOKUP($N69,Gebaeude!$B$18:$G$95,6,FALSE),"0,000"),"")</f>
        <v>0,211</v>
      </c>
      <c r="D69" s="134" t="str">
        <f ca="1">IF(AND($N69&lt;&gt;0, LEFT($N69,1)="W"),TEXT(VLOOKUP($N69,Gebaeude!$B$131:$F$142,5,FALSE),"0,00"),"")</f>
        <v/>
      </c>
      <c r="E69" s="996" t="str">
        <f t="shared" ca="1" si="9"/>
        <v>ok</v>
      </c>
      <c r="F69" s="996" t="str">
        <f t="shared" ca="1" si="10"/>
        <v>ok</v>
      </c>
      <c r="G69" s="996" t="str">
        <f t="shared" ca="1" si="11"/>
        <v>ok</v>
      </c>
      <c r="H69" s="996" t="str">
        <f t="shared" ca="1" si="12"/>
        <v/>
      </c>
      <c r="L69" s="46" t="s">
        <v>2503</v>
      </c>
      <c r="N69" s="983" t="str">
        <f ca="1"/>
        <v>AW 2</v>
      </c>
      <c r="O69" s="984"/>
      <c r="P69" s="1029" t="str">
        <f ca="1">IF($N69&lt;&gt;0,TEXT(VLOOKUP($N69,Gebaeude!$B$18:$G$95,2,FALSE),"0"),0)</f>
        <v>West</v>
      </c>
      <c r="Q69" s="985"/>
      <c r="R69" s="1030" t="str">
        <f t="shared" ca="1" si="13"/>
        <v>Opak</v>
      </c>
      <c r="S69" s="1030" t="str">
        <f t="shared" ca="1" si="14"/>
        <v>W</v>
      </c>
      <c r="T69" s="1030" t="str">
        <f t="shared" ca="1" si="15"/>
        <v>Aussenluft</v>
      </c>
      <c r="U69" s="986"/>
      <c r="V69" s="983" t="s">
        <v>980</v>
      </c>
      <c r="W69" s="1032" t="s">
        <v>2726</v>
      </c>
      <c r="X69" s="988"/>
      <c r="Y69" s="1007" t="s">
        <v>2740</v>
      </c>
    </row>
    <row r="70" spans="1:25" s="62" customFormat="1">
      <c r="A70" s="1014" t="str">
        <f ca="1">LEFT(IF($N70&lt;&gt;0,$N70&amp;": "&amp;VLOOKUP($N70,Gebaeude!$B$18:$G$95,2,FALSE)&amp;" "&amp;VLOOKUP($N70,Gebaeude!$B$18:$G$95,4,FALSE),""),40)</f>
        <v xml:space="preserve">G 2: Wand beheizter Keller </v>
      </c>
      <c r="B70" s="1014" t="str">
        <f ca="1">IF($N70&lt;&gt;0,TEXT(VLOOKUP($N70,Gebaeude!$B$18:$G$95,5,FALSE),"0"),0)</f>
        <v>97</v>
      </c>
      <c r="C70" s="1014" t="str">
        <f ca="1">IF($N70&lt;&gt;0,TEXT(VLOOKUP($N70,Gebaeude!$B$18:$G$95,6,FALSE),"0,000"),"")</f>
        <v>0,261</v>
      </c>
      <c r="D70" s="134" t="str">
        <f ca="1">IF(AND($N70&lt;&gt;0, LEFT($N70,1)="W"),TEXT(VLOOKUP($N70,Gebaeude!$B$131:$F$142,5,FALSE),"0,00"),"")</f>
        <v/>
      </c>
      <c r="E70" s="996" t="str">
        <f t="shared" ca="1" si="9"/>
        <v>ok</v>
      </c>
      <c r="F70" s="996" t="str">
        <f t="shared" ca="1" si="10"/>
        <v>ok</v>
      </c>
      <c r="G70" s="996" t="str">
        <f t="shared" ca="1" si="11"/>
        <v>ok</v>
      </c>
      <c r="H70" s="996" t="str">
        <f t="shared" ca="1" si="12"/>
        <v/>
      </c>
      <c r="L70" s="46" t="s">
        <v>2504</v>
      </c>
      <c r="N70" s="983" t="str">
        <f ca="1"/>
        <v>G 2</v>
      </c>
      <c r="O70" s="984"/>
      <c r="P70" s="1029" t="str">
        <f ca="1">IF($N70&lt;&gt;0,TEXT(VLOOKUP($N70,Gebaeude!$B$18:$G$95,2,FALSE),"0"),0)</f>
        <v>Wand beheizter Keller</v>
      </c>
      <c r="Q70" s="985"/>
      <c r="R70" s="1030" t="str">
        <f t="shared" ca="1" si="13"/>
        <v>Opak</v>
      </c>
      <c r="S70" s="1030" t="str">
        <f t="shared" ca="1" si="14"/>
        <v>N</v>
      </c>
      <c r="T70" s="1030" t="str">
        <f t="shared" ca="1" si="15"/>
        <v>Erdreich</v>
      </c>
      <c r="U70" s="986"/>
      <c r="V70" s="983" t="s">
        <v>981</v>
      </c>
      <c r="W70" s="1032" t="s">
        <v>330</v>
      </c>
      <c r="X70" s="1007"/>
      <c r="Y70" s="1031" t="s">
        <v>2733</v>
      </c>
    </row>
    <row r="71" spans="1:25" s="62" customFormat="1">
      <c r="A71" s="1014" t="str">
        <f ca="1">LEFT(IF($N71&lt;&gt;0,$N71&amp;": "&amp;VLOOKUP($N71,Gebaeude!$B$18:$G$95,2,FALSE)&amp;" "&amp;VLOOKUP($N71,Gebaeude!$B$18:$G$95,4,FALSE),""),40)</f>
        <v xml:space="preserve">G 1: Fußboden beheizter Keller </v>
      </c>
      <c r="B71" s="1014" t="str">
        <f ca="1">IF($N71&lt;&gt;0,TEXT(VLOOKUP($N71,Gebaeude!$B$18:$G$95,5,FALSE),"0"),0)</f>
        <v>81</v>
      </c>
      <c r="C71" s="1014" t="str">
        <f ca="1">IF($N71&lt;&gt;0,TEXT(VLOOKUP($N71,Gebaeude!$B$18:$G$95,6,FALSE),"0,000"),"")</f>
        <v>0,280</v>
      </c>
      <c r="D71" s="134" t="str">
        <f ca="1">IF(AND($N71&lt;&gt;0, LEFT($N71,1)="W"),TEXT(VLOOKUP($N71,Gebaeude!$B$131:$F$142,5,FALSE),"0,00"),"")</f>
        <v/>
      </c>
      <c r="E71" s="996" t="str">
        <f t="shared" ca="1" si="9"/>
        <v>ok</v>
      </c>
      <c r="F71" s="996" t="str">
        <f t="shared" ca="1" si="10"/>
        <v>ok</v>
      </c>
      <c r="G71" s="996" t="str">
        <f t="shared" ca="1" si="11"/>
        <v>ok</v>
      </c>
      <c r="H71" s="996" t="str">
        <f t="shared" ca="1" si="12"/>
        <v/>
      </c>
      <c r="L71" s="46" t="s">
        <v>2493</v>
      </c>
      <c r="N71" s="983" t="str">
        <f ca="1"/>
        <v>G 1</v>
      </c>
      <c r="O71" s="984"/>
      <c r="P71" s="1029" t="str">
        <f ca="1">IF($N71&lt;&gt;0,TEXT(VLOOKUP($N71,Gebaeude!$B$18:$G$95,2,FALSE),"0"),0)</f>
        <v>Fußboden beheizter Keller</v>
      </c>
      <c r="Q71" s="985"/>
      <c r="R71" s="1030" t="str">
        <f t="shared" ca="1" si="13"/>
        <v>Opak</v>
      </c>
      <c r="S71" s="1030" t="str">
        <f t="shared" ca="1" si="14"/>
        <v>N</v>
      </c>
      <c r="T71" s="1030" t="str">
        <f t="shared" ca="1" si="15"/>
        <v>Erdreich</v>
      </c>
      <c r="U71" s="986"/>
      <c r="V71" s="983" t="s">
        <v>984</v>
      </c>
      <c r="W71" s="1032" t="s">
        <v>2727</v>
      </c>
      <c r="X71" s="1007"/>
      <c r="Y71" s="1032" t="s">
        <v>2734</v>
      </c>
    </row>
    <row r="72" spans="1:25" s="62" customFormat="1" ht="15" thickBot="1">
      <c r="A72" s="1014" t="str">
        <f ca="1">LEFT(IF($N72&lt;&gt;0,$N72&amp;": "&amp;VLOOKUP($N72,Gebaeude!$B$18:$G$95,2,FALSE)&amp;" "&amp;VLOOKUP($N72,Gebaeude!$B$18:$G$95,4,FALSE),""),40)</f>
        <v>W 1: Nord 90°</v>
      </c>
      <c r="B72" s="1014" t="str">
        <f ca="1">IF($N72&lt;&gt;0,TEXT(VLOOKUP($N72,Gebaeude!$B$18:$G$95,5,FALSE),"0"),0)</f>
        <v>6</v>
      </c>
      <c r="C72" s="1014" t="str">
        <f ca="1">IF($N72&lt;&gt;0,TEXT(VLOOKUP($N72,Gebaeude!$B$18:$G$95,6,FALSE),"0,000"),"")</f>
        <v>0,900</v>
      </c>
      <c r="D72" s="134" t="str">
        <f ca="1">IF(AND($N72&lt;&gt;0, LEFT($N72,1)="W"),TEXT(VLOOKUP($N72,Gebaeude!$B$131:$F$142,5,FALSE),"0,00"),"")</f>
        <v>0,53</v>
      </c>
      <c r="E72" s="996" t="str">
        <f t="shared" ca="1" si="9"/>
        <v>ok</v>
      </c>
      <c r="F72" s="996" t="str">
        <f t="shared" ca="1" si="10"/>
        <v>ok</v>
      </c>
      <c r="G72" s="996" t="str">
        <f t="shared" ca="1" si="11"/>
        <v>ok</v>
      </c>
      <c r="H72" s="996" t="str">
        <f t="shared" ca="1" si="12"/>
        <v>ok</v>
      </c>
      <c r="L72" s="46" t="s">
        <v>2492</v>
      </c>
      <c r="N72" s="983" t="str">
        <f ca="1"/>
        <v>W 1</v>
      </c>
      <c r="O72" s="984"/>
      <c r="P72" s="1029" t="str">
        <f ca="1">IF($N72&lt;&gt;0,TEXT(VLOOKUP($N72,Gebaeude!$B$18:$G$95,2,FALSE),"0"),0)</f>
        <v>Nord</v>
      </c>
      <c r="Q72" s="985"/>
      <c r="R72" s="1030" t="str">
        <f t="shared" ca="1" si="13"/>
        <v>Transparent</v>
      </c>
      <c r="S72" s="1030" t="str">
        <f t="shared" ca="1" si="14"/>
        <v>N</v>
      </c>
      <c r="T72" s="1030" t="str">
        <f t="shared" ca="1" si="15"/>
        <v>Aussenluft</v>
      </c>
      <c r="U72" s="986"/>
      <c r="V72" s="983" t="s">
        <v>985</v>
      </c>
      <c r="W72" s="1032" t="s">
        <v>2728</v>
      </c>
      <c r="X72" s="1007"/>
      <c r="Y72" s="1033" t="s">
        <v>2735</v>
      </c>
    </row>
    <row r="73" spans="1:25" s="62" customFormat="1">
      <c r="A73" s="1014" t="str">
        <f ca="1">LEFT(IF($N73&lt;&gt;0,$N73&amp;": "&amp;VLOOKUP($N73,Gebaeude!$B$18:$G$95,2,FALSE)&amp;" "&amp;VLOOKUP($N73,Gebaeude!$B$18:$G$95,4,FALSE),""),40)</f>
        <v xml:space="preserve">W 11: Nord </v>
      </c>
      <c r="B73" s="1014" t="str">
        <f ca="1">IF($N73&lt;&gt;0,TEXT(VLOOKUP($N73,Gebaeude!$B$18:$G$95,5,FALSE),"0"),0)</f>
        <v>3</v>
      </c>
      <c r="C73" s="1014" t="str">
        <f ca="1">IF($N73&lt;&gt;0,TEXT(VLOOKUP($N73,Gebaeude!$B$18:$G$95,6,FALSE),"0,000"),"")</f>
        <v>0,900</v>
      </c>
      <c r="D73" s="134" t="str">
        <f ca="1">IF(AND($N73&lt;&gt;0, LEFT($N73,1)="W"),TEXT(VLOOKUP($N73,Gebaeude!$B$131:$F$142,5,FALSE),"0,00"),"")</f>
        <v>0,53</v>
      </c>
      <c r="E73" s="996" t="str">
        <f t="shared" ca="1" si="9"/>
        <v>ok</v>
      </c>
      <c r="F73" s="996" t="str">
        <f t="shared" ca="1" si="10"/>
        <v>ok</v>
      </c>
      <c r="G73" s="996" t="str">
        <f t="shared" ca="1" si="11"/>
        <v>ok</v>
      </c>
      <c r="H73" s="996" t="str">
        <f t="shared" ca="1" si="12"/>
        <v>ok</v>
      </c>
      <c r="L73" s="46" t="s">
        <v>2494</v>
      </c>
      <c r="N73" s="983" t="str">
        <f ca="1"/>
        <v>W 11</v>
      </c>
      <c r="O73" s="984"/>
      <c r="P73" s="1029" t="str">
        <f ca="1">IF($N73&lt;&gt;0,TEXT(VLOOKUP($N73,Gebaeude!$B$18:$G$95,2,FALSE),"0"),0)</f>
        <v>Nord</v>
      </c>
      <c r="Q73" s="985"/>
      <c r="R73" s="1030" t="str">
        <f t="shared" ca="1" si="13"/>
        <v>Transparent</v>
      </c>
      <c r="S73" s="1030" t="str">
        <f t="shared" ca="1" si="14"/>
        <v>N</v>
      </c>
      <c r="T73" s="1030" t="str">
        <f t="shared" ca="1" si="15"/>
        <v>Aussenluft</v>
      </c>
      <c r="U73" s="986"/>
      <c r="V73" s="983" t="s">
        <v>982</v>
      </c>
      <c r="W73" s="1032" t="s">
        <v>2729</v>
      </c>
      <c r="X73" s="1007"/>
      <c r="Y73" s="983"/>
    </row>
    <row r="74" spans="1:25" s="62" customFormat="1">
      <c r="A74" s="1014" t="str">
        <f ca="1">LEFT(IF($N74&lt;&gt;0,$N74&amp;": "&amp;VLOOKUP($N74,Gebaeude!$B$18:$G$95,2,FALSE)&amp;" "&amp;VLOOKUP($N74,Gebaeude!$B$18:$G$95,4,FALSE),""),40)</f>
        <v>W 4: Ost 90°</v>
      </c>
      <c r="B74" s="1014" t="str">
        <f ca="1">IF($N74&lt;&gt;0,TEXT(VLOOKUP($N74,Gebaeude!$B$18:$G$95,5,FALSE),"0"),0)</f>
        <v>8</v>
      </c>
      <c r="C74" s="1014" t="str">
        <f ca="1">IF($N74&lt;&gt;0,TEXT(VLOOKUP($N74,Gebaeude!$B$18:$G$95,6,FALSE),"0,000"),"")</f>
        <v>0,900</v>
      </c>
      <c r="D74" s="134" t="str">
        <f ca="1">IF(AND($N74&lt;&gt;0, LEFT($N74,1)="W"),TEXT(VLOOKUP($N74,Gebaeude!$B$131:$F$142,5,FALSE),"0,00"),"")</f>
        <v>0,53</v>
      </c>
      <c r="E74" s="996" t="str">
        <f t="shared" ca="1" si="9"/>
        <v>ok</v>
      </c>
      <c r="F74" s="996" t="str">
        <f t="shared" ca="1" si="10"/>
        <v>ok</v>
      </c>
      <c r="G74" s="996" t="str">
        <f t="shared" ca="1" si="11"/>
        <v>ok</v>
      </c>
      <c r="H74" s="996" t="str">
        <f t="shared" ca="1" si="12"/>
        <v>ok</v>
      </c>
      <c r="L74" s="46" t="s">
        <v>2495</v>
      </c>
      <c r="N74" s="983" t="str">
        <f ca="1"/>
        <v>W 4</v>
      </c>
      <c r="O74" s="984"/>
      <c r="P74" s="1029" t="str">
        <f ca="1">IF($N74&lt;&gt;0,TEXT(VLOOKUP($N74,Gebaeude!$B$18:$G$95,2,FALSE),"0"),0)</f>
        <v>Ost</v>
      </c>
      <c r="Q74" s="985"/>
      <c r="R74" s="1030" t="str">
        <f t="shared" ca="1" si="13"/>
        <v>Transparent</v>
      </c>
      <c r="S74" s="1030" t="str">
        <f t="shared" ca="1" si="14"/>
        <v>O</v>
      </c>
      <c r="T74" s="1030" t="str">
        <f t="shared" ca="1" si="15"/>
        <v>Aussenluft</v>
      </c>
      <c r="U74" s="986"/>
      <c r="V74" s="983" t="s">
        <v>983</v>
      </c>
      <c r="W74" s="1032" t="s">
        <v>2730</v>
      </c>
      <c r="X74" s="1007"/>
      <c r="Y74" s="983"/>
    </row>
    <row r="75" spans="1:25" s="62" customFormat="1" ht="15" thickBot="1">
      <c r="A75" s="1014" t="str">
        <f ca="1">LEFT(IF($N75&lt;&gt;0,$N75&amp;": "&amp;VLOOKUP($N75,Gebaeude!$B$18:$G$95,2,FALSE)&amp;" "&amp;VLOOKUP($N75,Gebaeude!$B$18:$G$95,4,FALSE),""),40)</f>
        <v>W 3: Süd 90°</v>
      </c>
      <c r="B75" s="1014" t="str">
        <f ca="1">IF($N75&lt;&gt;0,TEXT(VLOOKUP($N75,Gebaeude!$B$18:$G$95,5,FALSE),"0"),0)</f>
        <v>12</v>
      </c>
      <c r="C75" s="1014" t="str">
        <f ca="1">IF($N75&lt;&gt;0,TEXT(VLOOKUP($N75,Gebaeude!$B$18:$G$95,6,FALSE),"0,000"),"")</f>
        <v>0,900</v>
      </c>
      <c r="D75" s="134" t="str">
        <f ca="1">IF(AND($N75&lt;&gt;0, LEFT($N75,1)="W"),TEXT(VLOOKUP($N75,Gebaeude!$B$131:$F$142,5,FALSE),"0,00"),"")</f>
        <v>0,53</v>
      </c>
      <c r="E75" s="996" t="str">
        <f t="shared" ca="1" si="9"/>
        <v>ok</v>
      </c>
      <c r="F75" s="996" t="str">
        <f t="shared" ca="1" si="10"/>
        <v>ok</v>
      </c>
      <c r="G75" s="996" t="str">
        <f t="shared" ca="1" si="11"/>
        <v>ok</v>
      </c>
      <c r="H75" s="996" t="str">
        <f t="shared" ca="1" si="12"/>
        <v>ok</v>
      </c>
      <c r="L75" s="46"/>
      <c r="N75" s="983" t="str">
        <f ca="1"/>
        <v>W 3</v>
      </c>
      <c r="O75" s="984"/>
      <c r="P75" s="1029" t="str">
        <f ca="1">IF($N75&lt;&gt;0,TEXT(VLOOKUP($N75,Gebaeude!$B$18:$G$95,2,FALSE),"0"),0)</f>
        <v>Süd</v>
      </c>
      <c r="Q75" s="985"/>
      <c r="R75" s="1030" t="str">
        <f t="shared" ca="1" si="13"/>
        <v>Transparent</v>
      </c>
      <c r="S75" s="1030" t="str">
        <f t="shared" ca="1" si="14"/>
        <v>S</v>
      </c>
      <c r="T75" s="1030" t="str">
        <f t="shared" ca="1" si="15"/>
        <v>Aussenluft</v>
      </c>
      <c r="U75" s="986"/>
      <c r="V75" s="983" t="s">
        <v>13</v>
      </c>
      <c r="W75" s="1033" t="s">
        <v>2731</v>
      </c>
      <c r="X75" s="1007"/>
      <c r="Y75" s="983"/>
    </row>
    <row r="76" spans="1:25" s="62" customFormat="1">
      <c r="A76" s="1014" t="str">
        <f ca="1">LEFT(IF($N76&lt;&gt;0,$N76&amp;": "&amp;VLOOKUP($N76,Gebaeude!$B$18:$G$95,2,FALSE)&amp;" "&amp;VLOOKUP($N76,Gebaeude!$B$18:$G$95,4,FALSE),""),40)</f>
        <v>W 2: West 90°</v>
      </c>
      <c r="B76" s="1014" t="str">
        <f ca="1">IF($N76&lt;&gt;0,TEXT(VLOOKUP($N76,Gebaeude!$B$18:$G$95,5,FALSE),"0"),0)</f>
        <v>8</v>
      </c>
      <c r="C76" s="1014" t="str">
        <f ca="1">IF($N76&lt;&gt;0,TEXT(VLOOKUP($N76,Gebaeude!$B$18:$G$95,6,FALSE),"0,000"),"")</f>
        <v>0,900</v>
      </c>
      <c r="D76" s="134" t="str">
        <f ca="1">IF(AND($N76&lt;&gt;0, LEFT($N76,1)="W"),TEXT(VLOOKUP($N76,Gebaeude!$B$131:$F$142,5,FALSE),"0,00"),"")</f>
        <v>0,53</v>
      </c>
      <c r="E76" s="996" t="str">
        <f t="shared" ca="1" si="9"/>
        <v>ok</v>
      </c>
      <c r="F76" s="996" t="str">
        <f t="shared" ca="1" si="10"/>
        <v>ok</v>
      </c>
      <c r="G76" s="996" t="str">
        <f t="shared" ca="1" si="11"/>
        <v>ok</v>
      </c>
      <c r="H76" s="996" t="str">
        <f t="shared" ca="1" si="12"/>
        <v>ok</v>
      </c>
      <c r="L76" s="46" t="s">
        <v>2507</v>
      </c>
      <c r="N76" s="983" t="str">
        <f ca="1"/>
        <v>W 2</v>
      </c>
      <c r="O76" s="984"/>
      <c r="P76" s="1029" t="str">
        <f ca="1">IF($N76&lt;&gt;0,TEXT(VLOOKUP($N76,Gebaeude!$B$18:$G$95,2,FALSE),"0"),0)</f>
        <v>West</v>
      </c>
      <c r="Q76" s="985"/>
      <c r="R76" s="1030" t="str">
        <f t="shared" ca="1" si="13"/>
        <v>Transparent</v>
      </c>
      <c r="S76" s="1030" t="str">
        <f t="shared" ca="1" si="14"/>
        <v>W</v>
      </c>
      <c r="T76" s="1030" t="str">
        <f t="shared" ca="1" si="15"/>
        <v>Aussenluft</v>
      </c>
      <c r="U76" s="986"/>
      <c r="V76" s="983"/>
      <c r="W76" s="983"/>
      <c r="X76" s="983"/>
      <c r="Y76" s="983"/>
    </row>
    <row r="77" spans="1:25" s="62" customFormat="1">
      <c r="A77" s="1014" t="str">
        <f ca="1">LEFT(IF($N77&lt;&gt;0,$N77&amp;": "&amp;VLOOKUP($N77,Gebaeude!$B$18:$G$95,2,FALSE)&amp;" "&amp;VLOOKUP($N77,Gebaeude!$B$18:$G$95,4,FALSE),""),40)</f>
        <v>D 1: Nord 45°</v>
      </c>
      <c r="B77" s="1014" t="str">
        <f ca="1">IF($N77&lt;&gt;0,TEXT(VLOOKUP($N77,Gebaeude!$B$18:$G$95,5,FALSE),"0"),0)</f>
        <v>23</v>
      </c>
      <c r="C77" s="1014" t="str">
        <f ca="1">IF($N77&lt;&gt;0,TEXT(VLOOKUP($N77,Gebaeude!$B$18:$G$95,6,FALSE),"0,000"),"")</f>
        <v>0,178</v>
      </c>
      <c r="D77" s="134" t="str">
        <f ca="1">IF(AND($N77&lt;&gt;0, LEFT($N77,1)="W"),TEXT(VLOOKUP($N77,Gebaeude!$B$131:$F$142,5,FALSE),"0,00"),"")</f>
        <v/>
      </c>
      <c r="E77" s="996" t="str">
        <f t="shared" ca="1" si="9"/>
        <v>ok</v>
      </c>
      <c r="F77" s="996" t="str">
        <f t="shared" ca="1" si="10"/>
        <v>ok</v>
      </c>
      <c r="G77" s="996" t="str">
        <f t="shared" ca="1" si="11"/>
        <v>ok</v>
      </c>
      <c r="H77" s="996" t="str">
        <f t="shared" ca="1" si="12"/>
        <v/>
      </c>
      <c r="L77" s="46" t="s">
        <v>2509</v>
      </c>
      <c r="N77" s="983" t="str">
        <f ca="1"/>
        <v>D 1</v>
      </c>
      <c r="O77" s="984"/>
      <c r="P77" s="1029" t="str">
        <f ca="1">IF($N77&lt;&gt;0,TEXT(VLOOKUP($N77,Gebaeude!$B$18:$G$95,2,FALSE),"0"),0)</f>
        <v>Nord</v>
      </c>
      <c r="Q77" s="985"/>
      <c r="R77" s="1030" t="str">
        <f t="shared" ca="1" si="13"/>
        <v>Dach</v>
      </c>
      <c r="S77" s="1030" t="str">
        <f t="shared" ca="1" si="14"/>
        <v>N</v>
      </c>
      <c r="T77" s="1030" t="str">
        <f t="shared" ca="1" si="15"/>
        <v>Aussenluft</v>
      </c>
      <c r="U77" s="986"/>
      <c r="V77" s="1034" t="s">
        <v>2739</v>
      </c>
      <c r="W77" s="988"/>
      <c r="X77" s="983"/>
      <c r="Y77" s="983"/>
    </row>
    <row r="78" spans="1:25" s="62" customFormat="1">
      <c r="A78" s="1014" t="str">
        <f ca="1">LEFT(IF($N78&lt;&gt;0,$N78&amp;": "&amp;VLOOKUP($N78,Gebaeude!$B$18:$G$95,2,FALSE)&amp;" "&amp;VLOOKUP($N78,Gebaeude!$B$18:$G$95,4,FALSE),""),40)</f>
        <v>D 2: Süd 45°</v>
      </c>
      <c r="B78" s="1014" t="str">
        <f ca="1">IF($N78&lt;&gt;0,TEXT(VLOOKUP($N78,Gebaeude!$B$18:$G$95,5,FALSE),"0"),0)</f>
        <v>23</v>
      </c>
      <c r="C78" s="1014" t="str">
        <f ca="1">IF($N78&lt;&gt;0,TEXT(VLOOKUP($N78,Gebaeude!$B$18:$G$95,6,FALSE),"0,000"),"")</f>
        <v>0,178</v>
      </c>
      <c r="D78" s="134" t="str">
        <f ca="1">IF(AND($N78&lt;&gt;0, LEFT($N78,1)="W"),TEXT(VLOOKUP($N78,Gebaeude!$B$131:$F$142,5,FALSE),"0,00"),"")</f>
        <v/>
      </c>
      <c r="E78" s="996" t="str">
        <f t="shared" ca="1" si="9"/>
        <v>ok</v>
      </c>
      <c r="F78" s="996" t="str">
        <f t="shared" ca="1" si="10"/>
        <v>ok</v>
      </c>
      <c r="G78" s="996" t="str">
        <f t="shared" ca="1" si="11"/>
        <v>ok</v>
      </c>
      <c r="H78" s="996" t="str">
        <f t="shared" ca="1" si="12"/>
        <v/>
      </c>
      <c r="L78" s="46" t="s">
        <v>2510</v>
      </c>
      <c r="N78" s="983" t="str">
        <f ca="1"/>
        <v>D 2</v>
      </c>
      <c r="O78" s="984"/>
      <c r="P78" s="1029" t="str">
        <f ca="1">IF($N78&lt;&gt;0,TEXT(VLOOKUP($N78,Gebaeude!$B$18:$G$95,2,FALSE),"0"),0)</f>
        <v>Süd</v>
      </c>
      <c r="Q78" s="985"/>
      <c r="R78" s="1030" t="str">
        <f t="shared" ca="1" si="13"/>
        <v>Dach</v>
      </c>
      <c r="S78" s="1030" t="str">
        <f t="shared" ca="1" si="14"/>
        <v>S</v>
      </c>
      <c r="T78" s="1030" t="str">
        <f t="shared" ca="1" si="15"/>
        <v>Aussenluft</v>
      </c>
      <c r="U78" s="986"/>
      <c r="V78" s="987" t="s">
        <v>2737</v>
      </c>
      <c r="W78" s="1035" t="s">
        <v>1949</v>
      </c>
      <c r="X78" s="1035" t="s">
        <v>1949</v>
      </c>
      <c r="Y78" s="983"/>
    </row>
    <row r="79" spans="1:25" s="62" customFormat="1">
      <c r="A79" s="1014" t="str">
        <f ca="1">LEFT(IF($N79&lt;&gt;0,$N79&amp;": "&amp;VLOOKUP($N79,Gebaeude!$B$18:$G$95,2,FALSE)&amp;" "&amp;VLOOKUP($N79,Gebaeude!$B$18:$G$95,4,FALSE),""),40)</f>
        <v>D 3: Ost 45°</v>
      </c>
      <c r="B79" s="1014" t="str">
        <f ca="1">IF($N79&lt;&gt;0,TEXT(VLOOKUP($N79,Gebaeude!$B$18:$G$95,5,FALSE),"0"),0)</f>
        <v>1</v>
      </c>
      <c r="C79" s="1014" t="str">
        <f ca="1">IF($N79&lt;&gt;0,TEXT(VLOOKUP($N79,Gebaeude!$B$18:$G$95,6,FALSE),"0,000"),"")</f>
        <v>0,178</v>
      </c>
      <c r="D79" s="134" t="str">
        <f ca="1">IF(AND($N79&lt;&gt;0, LEFT($N79,1)="W"),TEXT(VLOOKUP($N79,Gebaeude!$B$131:$F$142,5,FALSE),"0,00"),"")</f>
        <v/>
      </c>
      <c r="E79" s="996" t="str">
        <f t="shared" ca="1" si="9"/>
        <v>ok</v>
      </c>
      <c r="F79" s="996" t="str">
        <f t="shared" ca="1" si="10"/>
        <v>ok</v>
      </c>
      <c r="G79" s="996" t="str">
        <f t="shared" ca="1" si="11"/>
        <v>ok</v>
      </c>
      <c r="H79" s="996" t="str">
        <f t="shared" ca="1" si="12"/>
        <v/>
      </c>
      <c r="L79" s="46" t="s">
        <v>2505</v>
      </c>
      <c r="N79" s="983" t="str">
        <f ca="1"/>
        <v>D 3</v>
      </c>
      <c r="O79" s="984"/>
      <c r="P79" s="1029" t="str">
        <f ca="1">IF($N79&lt;&gt;0,TEXT(VLOOKUP($N79,Gebaeude!$B$18:$G$95,2,FALSE),"0"),0)</f>
        <v>Ost</v>
      </c>
      <c r="Q79" s="985"/>
      <c r="R79" s="1030" t="str">
        <f t="shared" ca="1" si="13"/>
        <v>Dach</v>
      </c>
      <c r="S79" s="1030" t="str">
        <f t="shared" ca="1" si="14"/>
        <v>O</v>
      </c>
      <c r="T79" s="1030" t="str">
        <f t="shared" ca="1" si="15"/>
        <v>Aussenluft</v>
      </c>
      <c r="U79" s="986"/>
      <c r="V79" s="987" t="s">
        <v>2741</v>
      </c>
      <c r="W79" s="1035" t="s">
        <v>1949</v>
      </c>
      <c r="X79" s="1035" t="s">
        <v>367</v>
      </c>
      <c r="Y79" s="983"/>
    </row>
    <row r="80" spans="1:25" s="62" customFormat="1">
      <c r="A80" s="1014" t="str">
        <f ca="1">LEFT(IF($N80&lt;&gt;0,$N80&amp;": "&amp;VLOOKUP($N80,Gebaeude!$B$18:$G$95,2,FALSE)&amp;" "&amp;VLOOKUP($N80,Gebaeude!$B$18:$G$95,4,FALSE),""),40)</f>
        <v>D 4: Ost 45°</v>
      </c>
      <c r="B80" s="1014" t="str">
        <f ca="1">IF($N80&lt;&gt;0,TEXT(VLOOKUP($N80,Gebaeude!$B$18:$G$95,5,FALSE),"0"),0)</f>
        <v>1</v>
      </c>
      <c r="C80" s="1014" t="str">
        <f ca="1">IF($N80&lt;&gt;0,TEXT(VLOOKUP($N80,Gebaeude!$B$18:$G$95,6,FALSE),"0,000"),"")</f>
        <v>0,178</v>
      </c>
      <c r="D80" s="134" t="str">
        <f ca="1">IF(AND($N80&lt;&gt;0, LEFT($N80,1)="W"),TEXT(VLOOKUP($N80,Gebaeude!$B$131:$F$142,5,FALSE),"0,00"),"")</f>
        <v/>
      </c>
      <c r="E80" s="996" t="str">
        <f t="shared" ca="1" si="9"/>
        <v>ok</v>
      </c>
      <c r="F80" s="996" t="str">
        <f t="shared" ca="1" si="10"/>
        <v>ok</v>
      </c>
      <c r="G80" s="996" t="str">
        <f t="shared" ca="1" si="11"/>
        <v>ok</v>
      </c>
      <c r="H80" s="996" t="str">
        <f t="shared" ca="1" si="12"/>
        <v/>
      </c>
      <c r="L80" s="46" t="s">
        <v>2506</v>
      </c>
      <c r="N80" s="983" t="str">
        <f ca="1"/>
        <v>D 4</v>
      </c>
      <c r="O80" s="984"/>
      <c r="P80" s="1029" t="str">
        <f ca="1">IF($N80&lt;&gt;0,TEXT(VLOOKUP($N80,Gebaeude!$B$18:$G$95,2,FALSE),"0"),0)</f>
        <v>Ost</v>
      </c>
      <c r="Q80" s="985"/>
      <c r="R80" s="1030" t="str">
        <f t="shared" ca="1" si="13"/>
        <v>Dach</v>
      </c>
      <c r="S80" s="1030" t="str">
        <f t="shared" ca="1" si="14"/>
        <v>O</v>
      </c>
      <c r="T80" s="1030" t="str">
        <f t="shared" ca="1" si="15"/>
        <v>Aussenluft</v>
      </c>
      <c r="U80" s="986"/>
      <c r="V80" s="987" t="s">
        <v>351</v>
      </c>
      <c r="W80" s="1035" t="s">
        <v>367</v>
      </c>
      <c r="X80" s="1035" t="s">
        <v>367</v>
      </c>
      <c r="Y80" s="983"/>
    </row>
    <row r="81" spans="1:25" s="62" customFormat="1">
      <c r="A81" s="1014" t="str">
        <f ca="1">LEFT(IF($N81&lt;&gt;0,$N81&amp;": "&amp;VLOOKUP($N81,Gebaeude!$B$18:$G$95,2,FALSE)&amp;" "&amp;VLOOKUP($N81,Gebaeude!$B$18:$G$95,4,FALSE),""),40)</f>
        <v xml:space="preserve">OG 1: oberste Geschossdecke </v>
      </c>
      <c r="B81" s="1014" t="str">
        <f ca="1">IF($N81&lt;&gt;0,TEXT(VLOOKUP($N81,Gebaeude!$B$18:$G$95,5,FALSE),"0"),0)</f>
        <v>58</v>
      </c>
      <c r="C81" s="1014" t="str">
        <f ca="1">IF($N81&lt;&gt;0,TEXT(VLOOKUP($N81,Gebaeude!$B$18:$G$95,6,FALSE),"0,000"),"")</f>
        <v>0,194</v>
      </c>
      <c r="D81" s="134" t="str">
        <f ca="1">IF(AND($N81&lt;&gt;0, LEFT($N81,1)="W"),TEXT(VLOOKUP($N81,Gebaeude!$B$131:$F$142,5,FALSE),"0,00"),"")</f>
        <v/>
      </c>
      <c r="E81" s="996" t="str">
        <f t="shared" ca="1" si="9"/>
        <v>ok</v>
      </c>
      <c r="F81" s="996" t="str">
        <f t="shared" ca="1" si="10"/>
        <v>ok</v>
      </c>
      <c r="G81" s="996" t="str">
        <f t="shared" ca="1" si="11"/>
        <v>ok</v>
      </c>
      <c r="H81" s="996" t="str">
        <f t="shared" ca="1" si="12"/>
        <v/>
      </c>
      <c r="L81" s="46"/>
      <c r="N81" s="983" t="str">
        <f ca="1"/>
        <v>OG 1</v>
      </c>
      <c r="O81" s="984"/>
      <c r="P81" s="1029" t="str">
        <f ca="1">IF($N81&lt;&gt;0,TEXT(VLOOKUP($N81,Gebaeude!$B$18:$G$95,2,FALSE),"0"),0)</f>
        <v>oberste Geschossdecke</v>
      </c>
      <c r="Q81" s="985"/>
      <c r="R81" s="1030" t="str">
        <f t="shared" ca="1" si="13"/>
        <v>Dach</v>
      </c>
      <c r="S81" s="1030" t="str">
        <f t="shared" ca="1" si="14"/>
        <v>N</v>
      </c>
      <c r="T81" s="1030" t="str">
        <f t="shared" ca="1" si="15"/>
        <v>Raumluft</v>
      </c>
      <c r="U81" s="986"/>
      <c r="V81" s="987"/>
      <c r="W81" s="983"/>
      <c r="X81" s="983"/>
      <c r="Y81" s="983"/>
    </row>
    <row r="82" spans="1:25" s="62" customFormat="1">
      <c r="A82" s="1014" t="str">
        <f ca="1">LEFT(IF($N82&lt;&gt;0,$N82&amp;": "&amp;VLOOKUP($N82,Gebaeude!$B$18:$G$95,2,FALSE)&amp;" "&amp;VLOOKUP($N82,Gebaeude!$B$18:$G$95,4,FALSE),""),40)</f>
        <v/>
      </c>
      <c r="B82" s="1014">
        <f ca="1">IF($N82&lt;&gt;0,TEXT(VLOOKUP($N82,Gebaeude!$B$18:$G$95,5,FALSE),"0"),0)</f>
        <v>0</v>
      </c>
      <c r="C82" s="1014" t="str">
        <f ca="1">IF($N82&lt;&gt;0,TEXT(VLOOKUP($N82,Gebaeude!$B$18:$G$95,6,FALSE),"0,000"),"")</f>
        <v/>
      </c>
      <c r="D82" s="134" t="str">
        <f ca="1">IF(AND($N82&lt;&gt;0, LEFT($N82,1)="W"),TEXT(VLOOKUP($N82,Gebaeude!$B$131:$F$142,5,FALSE),"0,00"),"")</f>
        <v/>
      </c>
      <c r="E82" s="996" t="str">
        <f t="shared" ca="1" si="9"/>
        <v/>
      </c>
      <c r="F82" s="996" t="str">
        <f t="shared" ca="1" si="10"/>
        <v/>
      </c>
      <c r="G82" s="996" t="str">
        <f t="shared" ca="1" si="11"/>
        <v/>
      </c>
      <c r="H82" s="996" t="str">
        <f t="shared" ca="1" si="12"/>
        <v/>
      </c>
      <c r="L82" s="46"/>
      <c r="N82" s="983">
        <f ca="1"/>
        <v>0</v>
      </c>
      <c r="O82" s="984"/>
      <c r="P82" s="1029">
        <f ca="1">IF($N82&lt;&gt;0,TEXT(VLOOKUP($N82,Gebaeude!$B$18:$G$95,2,FALSE),"0"),0)</f>
        <v>0</v>
      </c>
      <c r="Q82" s="985"/>
      <c r="R82" s="1030">
        <f t="shared" ca="1" si="13"/>
        <v>0</v>
      </c>
      <c r="S82" s="1030" t="str">
        <f t="shared" ca="1" si="14"/>
        <v>N</v>
      </c>
      <c r="T82" s="1030">
        <f t="shared" ca="1" si="15"/>
        <v>0</v>
      </c>
      <c r="U82" s="986"/>
      <c r="V82" s="1036" t="s">
        <v>2752</v>
      </c>
      <c r="W82" s="983"/>
      <c r="X82" s="983"/>
      <c r="Y82" s="983"/>
    </row>
    <row r="83" spans="1:25" s="62" customFormat="1">
      <c r="A83" s="1014" t="str">
        <f ca="1">LEFT(IF($N83&lt;&gt;0,$N83&amp;": "&amp;VLOOKUP($N83,Gebaeude!$B$18:$G$95,2,FALSE)&amp;" "&amp;VLOOKUP($N83,Gebaeude!$B$18:$G$95,4,FALSE),""),40)</f>
        <v/>
      </c>
      <c r="B83" s="1014">
        <f ca="1">IF($N83&lt;&gt;0,TEXT(VLOOKUP($N83,Gebaeude!$B$18:$G$95,5,FALSE),"0"),0)</f>
        <v>0</v>
      </c>
      <c r="C83" s="1014" t="str">
        <f ca="1">IF($N83&lt;&gt;0,TEXT(VLOOKUP($N83,Gebaeude!$B$18:$G$95,6,FALSE),"0,000"),"")</f>
        <v/>
      </c>
      <c r="D83" s="134" t="str">
        <f ca="1">IF(AND($N83&lt;&gt;0, LEFT($N83,1)="W"),TEXT(VLOOKUP($N83,Gebaeude!$B$131:$F$142,5,FALSE),"0,00"),"")</f>
        <v/>
      </c>
      <c r="E83" s="996" t="str">
        <f t="shared" ca="1" si="9"/>
        <v/>
      </c>
      <c r="F83" s="996" t="str">
        <f t="shared" ca="1" si="10"/>
        <v/>
      </c>
      <c r="G83" s="996" t="str">
        <f t="shared" ca="1" si="11"/>
        <v/>
      </c>
      <c r="H83" s="996" t="str">
        <f t="shared" ca="1" si="12"/>
        <v/>
      </c>
      <c r="L83" s="1037"/>
      <c r="N83" s="983">
        <f ca="1"/>
        <v>0</v>
      </c>
      <c r="O83" s="984"/>
      <c r="P83" s="1029">
        <f ca="1">IF($N83&lt;&gt;0,TEXT(VLOOKUP($N83,Gebaeude!$B$18:$G$95,2,FALSE),"0"),0)</f>
        <v>0</v>
      </c>
      <c r="Q83" s="985"/>
      <c r="R83" s="1030">
        <f t="shared" ca="1" si="13"/>
        <v>0</v>
      </c>
      <c r="S83" s="1030" t="str">
        <f t="shared" ca="1" si="14"/>
        <v>N</v>
      </c>
      <c r="T83" s="1030">
        <f t="shared" ca="1" si="15"/>
        <v>0</v>
      </c>
      <c r="U83" s="986"/>
      <c r="V83" s="1036" t="s">
        <v>2750</v>
      </c>
      <c r="W83" s="983"/>
      <c r="X83" s="983"/>
      <c r="Y83" s="983"/>
    </row>
    <row r="84" spans="1:25" s="62" customFormat="1">
      <c r="A84" s="1014" t="str">
        <f ca="1">LEFT(IF($N84&lt;&gt;0,$N84&amp;": "&amp;VLOOKUP($N84,Gebaeude!$B$18:$G$95,2,FALSE)&amp;" "&amp;VLOOKUP($N84,Gebaeude!$B$18:$G$95,4,FALSE),""),40)</f>
        <v/>
      </c>
      <c r="B84" s="1014">
        <f ca="1">IF($N84&lt;&gt;0,TEXT(VLOOKUP($N84,Gebaeude!$B$18:$G$95,5,FALSE),"0"),0)</f>
        <v>0</v>
      </c>
      <c r="C84" s="1014" t="str">
        <f ca="1">IF($N84&lt;&gt;0,TEXT(VLOOKUP($N84,Gebaeude!$B$18:$G$95,6,FALSE),"0,000"),"")</f>
        <v/>
      </c>
      <c r="D84" s="134" t="str">
        <f ca="1">IF(AND($N84&lt;&gt;0, LEFT($N84,1)="W"),TEXT(VLOOKUP($N84,Gebaeude!$B$131:$F$142,5,FALSE),"0,00"),"")</f>
        <v/>
      </c>
      <c r="E84" s="996" t="str">
        <f t="shared" ca="1" si="9"/>
        <v/>
      </c>
      <c r="F84" s="996" t="str">
        <f t="shared" ca="1" si="10"/>
        <v/>
      </c>
      <c r="G84" s="996" t="str">
        <f t="shared" ca="1" si="11"/>
        <v/>
      </c>
      <c r="H84" s="996" t="str">
        <f t="shared" ca="1" si="12"/>
        <v/>
      </c>
      <c r="L84" s="46"/>
      <c r="N84" s="983">
        <f ca="1"/>
        <v>0</v>
      </c>
      <c r="O84" s="984"/>
      <c r="P84" s="1029">
        <f ca="1">IF($N84&lt;&gt;0,TEXT(VLOOKUP($N84,Gebaeude!$B$18:$G$95,2,FALSE),"0"),0)</f>
        <v>0</v>
      </c>
      <c r="Q84" s="985"/>
      <c r="R84" s="1030">
        <f t="shared" ca="1" si="13"/>
        <v>0</v>
      </c>
      <c r="S84" s="1030" t="str">
        <f t="shared" ca="1" si="14"/>
        <v>N</v>
      </c>
      <c r="T84" s="1030">
        <f t="shared" ca="1" si="15"/>
        <v>0</v>
      </c>
      <c r="U84" s="986"/>
      <c r="V84" s="1036" t="s">
        <v>2751</v>
      </c>
      <c r="W84" s="988"/>
      <c r="X84" s="988"/>
      <c r="Y84" s="988"/>
    </row>
    <row r="85" spans="1:25" s="62" customFormat="1">
      <c r="A85" s="1014" t="str">
        <f ca="1">LEFT(IF($N85&lt;&gt;0,$N85&amp;": "&amp;VLOOKUP($N85,Gebaeude!$B$18:$G$95,2,FALSE)&amp;" "&amp;VLOOKUP($N85,Gebaeude!$B$18:$G$95,4,FALSE),""),40)</f>
        <v/>
      </c>
      <c r="B85" s="1014">
        <f ca="1">IF($N85&lt;&gt;0,TEXT(VLOOKUP($N85,Gebaeude!$B$18:$G$95,5,FALSE),"0"),0)</f>
        <v>0</v>
      </c>
      <c r="C85" s="1014" t="str">
        <f ca="1">IF($N85&lt;&gt;0,TEXT(VLOOKUP($N85,Gebaeude!$B$18:$G$95,6,FALSE),"0,000"),"")</f>
        <v/>
      </c>
      <c r="D85" s="134" t="str">
        <f ca="1">IF(AND($N85&lt;&gt;0, LEFT($N85,1)="W"),TEXT(VLOOKUP($N85,Gebaeude!$B$131:$F$142,5,FALSE),"0,00"),"")</f>
        <v/>
      </c>
      <c r="E85" s="996" t="str">
        <f t="shared" ca="1" si="9"/>
        <v/>
      </c>
      <c r="F85" s="996" t="str">
        <f t="shared" ca="1" si="10"/>
        <v/>
      </c>
      <c r="G85" s="996" t="str">
        <f t="shared" ca="1" si="11"/>
        <v/>
      </c>
      <c r="H85" s="996" t="str">
        <f t="shared" ca="1" si="12"/>
        <v/>
      </c>
      <c r="L85" s="46"/>
      <c r="N85" s="983">
        <f ca="1"/>
        <v>0</v>
      </c>
      <c r="O85" s="984"/>
      <c r="P85" s="1029">
        <f ca="1">IF($N85&lt;&gt;0,TEXT(VLOOKUP($N85,Gebaeude!$B$18:$G$95,2,FALSE),"0"),0)</f>
        <v>0</v>
      </c>
      <c r="Q85" s="985"/>
      <c r="R85" s="1030">
        <f t="shared" ca="1" si="13"/>
        <v>0</v>
      </c>
      <c r="S85" s="1030" t="str">
        <f t="shared" ca="1" si="14"/>
        <v>N</v>
      </c>
      <c r="T85" s="1030">
        <f t="shared" ca="1" si="15"/>
        <v>0</v>
      </c>
      <c r="U85" s="986"/>
      <c r="V85" s="987"/>
      <c r="W85" s="988"/>
      <c r="X85" s="988"/>
      <c r="Y85" s="988"/>
    </row>
    <row r="86" spans="1:25" s="62" customFormat="1">
      <c r="A86" s="1014" t="str">
        <f ca="1">LEFT(IF($N86&lt;&gt;0,$N86&amp;": "&amp;VLOOKUP($N86,Gebaeude!$B$18:$G$95,2,FALSE)&amp;" "&amp;VLOOKUP($N86,Gebaeude!$B$18:$G$95,4,FALSE),""),40)</f>
        <v/>
      </c>
      <c r="B86" s="1014">
        <f ca="1">IF($N86&lt;&gt;0,TEXT(VLOOKUP($N86,Gebaeude!$B$18:$G$95,5,FALSE),"0"),0)</f>
        <v>0</v>
      </c>
      <c r="C86" s="1014" t="str">
        <f ca="1">IF($N86&lt;&gt;0,TEXT(VLOOKUP($N86,Gebaeude!$B$18:$G$95,6,FALSE),"0,000"),"")</f>
        <v/>
      </c>
      <c r="D86" s="134" t="str">
        <f ca="1">IF(AND($N86&lt;&gt;0, LEFT($N86,1)="W"),TEXT(VLOOKUP($N86,Gebaeude!$B$131:$F$142,5,FALSE),"0,00"),"")</f>
        <v/>
      </c>
      <c r="E86" s="996" t="str">
        <f t="shared" ca="1" si="9"/>
        <v/>
      </c>
      <c r="F86" s="996" t="str">
        <f t="shared" ca="1" si="10"/>
        <v/>
      </c>
      <c r="G86" s="996" t="str">
        <f t="shared" ca="1" si="11"/>
        <v/>
      </c>
      <c r="H86" s="996" t="str">
        <f t="shared" ca="1" si="12"/>
        <v/>
      </c>
      <c r="L86" s="46"/>
      <c r="N86" s="983">
        <f ca="1"/>
        <v>0</v>
      </c>
      <c r="O86" s="984"/>
      <c r="P86" s="1029">
        <f ca="1">IF($N86&lt;&gt;0,TEXT(VLOOKUP($N86,Gebaeude!$B$18:$G$95,2,FALSE),"0"),0)</f>
        <v>0</v>
      </c>
      <c r="Q86" s="985"/>
      <c r="R86" s="1030">
        <f t="shared" ca="1" si="13"/>
        <v>0</v>
      </c>
      <c r="S86" s="1030" t="str">
        <f t="shared" ca="1" si="14"/>
        <v>N</v>
      </c>
      <c r="T86" s="1030">
        <f t="shared" ca="1" si="15"/>
        <v>0</v>
      </c>
      <c r="U86" s="986"/>
      <c r="V86" s="987"/>
      <c r="W86" s="1038"/>
      <c r="X86" s="983"/>
      <c r="Y86" s="983"/>
    </row>
    <row r="87" spans="1:25" s="62" customFormat="1" ht="15" thickBot="1">
      <c r="A87" s="1014" t="str">
        <f ca="1">LEFT(IF($N87&lt;&gt;0,$N87&amp;": "&amp;VLOOKUP($N87,Gebaeude!$B$18:$G$95,2,FALSE)&amp;" "&amp;VLOOKUP($N87,Gebaeude!$B$18:$G$95,4,FALSE),""),40)</f>
        <v/>
      </c>
      <c r="B87" s="1014">
        <f ca="1">IF($N87&lt;&gt;0,TEXT(VLOOKUP($N87,Gebaeude!$B$18:$G$95,5,FALSE),"0"),0)</f>
        <v>0</v>
      </c>
      <c r="C87" s="1014" t="str">
        <f ca="1">IF($N87&lt;&gt;0,TEXT(VLOOKUP($N87,Gebaeude!$B$18:$G$95,6,FALSE),"0,000"),"")</f>
        <v/>
      </c>
      <c r="D87" s="134" t="str">
        <f ca="1">IF(AND($N87&lt;&gt;0, LEFT($N87,1)="W"),TEXT(VLOOKUP($N87,Gebaeude!$B$131:$F$142,5,FALSE),"0,00"),"")</f>
        <v/>
      </c>
      <c r="E87" s="996" t="str">
        <f t="shared" ca="1" si="9"/>
        <v/>
      </c>
      <c r="F87" s="996" t="str">
        <f t="shared" ca="1" si="10"/>
        <v/>
      </c>
      <c r="G87" s="996" t="str">
        <f t="shared" ca="1" si="11"/>
        <v/>
      </c>
      <c r="H87" s="996" t="str">
        <f t="shared" ca="1" si="12"/>
        <v/>
      </c>
      <c r="L87" s="46"/>
      <c r="N87" s="983">
        <f ca="1"/>
        <v>0</v>
      </c>
      <c r="O87" s="984"/>
      <c r="P87" s="1029">
        <f ca="1">IF($N87&lt;&gt;0,TEXT(VLOOKUP($N87,Gebaeude!$B$18:$G$95,2,FALSE),"0"),0)</f>
        <v>0</v>
      </c>
      <c r="Q87" s="985"/>
      <c r="R87" s="1030">
        <f t="shared" ca="1" si="13"/>
        <v>0</v>
      </c>
      <c r="S87" s="1030" t="str">
        <f t="shared" ca="1" si="14"/>
        <v>N</v>
      </c>
      <c r="T87" s="1030">
        <f t="shared" ca="1" si="15"/>
        <v>0</v>
      </c>
      <c r="U87" s="986"/>
      <c r="V87" s="997" t="s">
        <v>2745</v>
      </c>
      <c r="W87" s="1007" t="s">
        <v>1678</v>
      </c>
      <c r="X87" s="1007" t="s">
        <v>2740</v>
      </c>
      <c r="Y87" s="983"/>
    </row>
    <row r="88" spans="1:25" s="62" customFormat="1">
      <c r="A88" s="1014" t="str">
        <f ca="1">LEFT(IF($N88&lt;&gt;0,$N88&amp;": "&amp;VLOOKUP($N88,Gebaeude!$B$18:$G$95,2,FALSE)&amp;" "&amp;VLOOKUP($N88,Gebaeude!$B$18:$G$95,4,FALSE),""),40)</f>
        <v/>
      </c>
      <c r="B88" s="1014">
        <f ca="1">IF($N88&lt;&gt;0,TEXT(VLOOKUP($N88,Gebaeude!$B$18:$G$95,5,FALSE),"0"),0)</f>
        <v>0</v>
      </c>
      <c r="C88" s="1014" t="str">
        <f ca="1">IF($N88&lt;&gt;0,TEXT(VLOOKUP($N88,Gebaeude!$B$18:$G$95,6,FALSE),"0,000"),"")</f>
        <v/>
      </c>
      <c r="D88" s="134" t="str">
        <f ca="1">IF(AND($N88&lt;&gt;0, LEFT($N88,1)="W"),TEXT(VLOOKUP($N88,Gebaeude!$B$131:$F$142,5,FALSE),"0,00"),"")</f>
        <v/>
      </c>
      <c r="E88" s="996" t="str">
        <f t="shared" ca="1" si="9"/>
        <v/>
      </c>
      <c r="F88" s="996" t="str">
        <f t="shared" ca="1" si="10"/>
        <v/>
      </c>
      <c r="G88" s="996" t="str">
        <f t="shared" ca="1" si="11"/>
        <v/>
      </c>
      <c r="H88" s="996" t="str">
        <f t="shared" ca="1" si="12"/>
        <v/>
      </c>
      <c r="L88" s="46"/>
      <c r="N88" s="983">
        <f ca="1"/>
        <v>0</v>
      </c>
      <c r="O88" s="984"/>
      <c r="P88" s="1029">
        <f ca="1">IF($N88&lt;&gt;0,TEXT(VLOOKUP($N88,Gebaeude!$B$18:$G$95,2,FALSE),"0"),0)</f>
        <v>0</v>
      </c>
      <c r="Q88" s="985"/>
      <c r="R88" s="1030">
        <f t="shared" ca="1" si="13"/>
        <v>0</v>
      </c>
      <c r="S88" s="1030" t="str">
        <f t="shared" ca="1" si="14"/>
        <v>N</v>
      </c>
      <c r="T88" s="1030">
        <f t="shared" ca="1" si="15"/>
        <v>0</v>
      </c>
      <c r="U88" s="986"/>
      <c r="V88" s="983" t="s">
        <v>328</v>
      </c>
      <c r="W88" s="1039" t="s">
        <v>2737</v>
      </c>
      <c r="X88" s="1039" t="s">
        <v>2733</v>
      </c>
      <c r="Y88" s="983"/>
    </row>
    <row r="89" spans="1:25" s="62" customFormat="1">
      <c r="A89" s="1014" t="str">
        <f ca="1">LEFT(IF($N89&lt;&gt;0,$N89&amp;": "&amp;VLOOKUP($N89,Gebaeude!$B$18:$G$95,2,FALSE)&amp;" "&amp;VLOOKUP($N89,Gebaeude!$B$18:$G$95,4,FALSE),""),40)</f>
        <v/>
      </c>
      <c r="B89" s="1014">
        <f ca="1">IF($N89&lt;&gt;0,TEXT(VLOOKUP($N89,Gebaeude!$B$18:$G$95,5,FALSE),"0"),0)</f>
        <v>0</v>
      </c>
      <c r="C89" s="1014" t="str">
        <f ca="1">IF($N89&lt;&gt;0,TEXT(VLOOKUP($N89,Gebaeude!$B$18:$G$95,6,FALSE),"0,000"),"")</f>
        <v/>
      </c>
      <c r="D89" s="134" t="str">
        <f ca="1">IF(AND($N89&lt;&gt;0, LEFT($N89,1)="W"),TEXT(VLOOKUP($N89,Gebaeude!$B$131:$F$142,5,FALSE),"0,00"),"")</f>
        <v/>
      </c>
      <c r="E89" s="996" t="str">
        <f t="shared" ca="1" si="9"/>
        <v/>
      </c>
      <c r="F89" s="996" t="str">
        <f t="shared" ca="1" si="10"/>
        <v/>
      </c>
      <c r="G89" s="996" t="str">
        <f t="shared" ca="1" si="11"/>
        <v/>
      </c>
      <c r="H89" s="996" t="str">
        <f t="shared" ca="1" si="12"/>
        <v/>
      </c>
      <c r="L89" s="46"/>
      <c r="N89" s="983">
        <f ca="1"/>
        <v>0</v>
      </c>
      <c r="O89" s="984"/>
      <c r="P89" s="1029">
        <f ca="1">IF($N89&lt;&gt;0,TEXT(VLOOKUP($N89,Gebaeude!$B$18:$G$95,2,FALSE),"0"),0)</f>
        <v>0</v>
      </c>
      <c r="Q89" s="985"/>
      <c r="R89" s="1030">
        <f t="shared" ca="1" si="13"/>
        <v>0</v>
      </c>
      <c r="S89" s="1030" t="str">
        <f t="shared" ca="1" si="14"/>
        <v>N</v>
      </c>
      <c r="T89" s="1030">
        <f t="shared" ca="1" si="15"/>
        <v>0</v>
      </c>
      <c r="U89" s="986"/>
      <c r="V89" s="983" t="s">
        <v>2742</v>
      </c>
      <c r="W89" s="1040" t="s">
        <v>2738</v>
      </c>
      <c r="X89" s="1040" t="s">
        <v>2733</v>
      </c>
      <c r="Y89" s="983"/>
    </row>
    <row r="90" spans="1:25" s="62" customFormat="1">
      <c r="A90" s="1014" t="str">
        <f ca="1">LEFT(IF($N90&lt;&gt;0,$N90&amp;": "&amp;VLOOKUP($N90,Gebaeude!$B$18:$G$95,2,FALSE)&amp;" "&amp;VLOOKUP($N90,Gebaeude!$B$18:$G$95,4,FALSE),""),40)</f>
        <v/>
      </c>
      <c r="B90" s="1014">
        <f ca="1">IF($N90&lt;&gt;0,TEXT(VLOOKUP($N90,Gebaeude!$B$18:$G$95,5,FALSE),"0"),0)</f>
        <v>0</v>
      </c>
      <c r="C90" s="1014" t="str">
        <f ca="1">IF($N90&lt;&gt;0,TEXT(VLOOKUP($N90,Gebaeude!$B$18:$G$95,6,FALSE),"0,000"),"")</f>
        <v/>
      </c>
      <c r="D90" s="134" t="str">
        <f ca="1">IF(AND($N90&lt;&gt;0, LEFT($N90,1)="W"),TEXT(VLOOKUP($N90,Gebaeude!$B$131:$F$142,5,FALSE),"0,00"),"")</f>
        <v/>
      </c>
      <c r="E90" s="996" t="str">
        <f t="shared" ca="1" si="9"/>
        <v/>
      </c>
      <c r="F90" s="996" t="str">
        <f t="shared" ca="1" si="10"/>
        <v/>
      </c>
      <c r="G90" s="996" t="str">
        <f t="shared" ca="1" si="11"/>
        <v/>
      </c>
      <c r="H90" s="996" t="str">
        <f t="shared" ca="1" si="12"/>
        <v/>
      </c>
      <c r="L90" s="46"/>
      <c r="N90" s="983">
        <f ca="1"/>
        <v>0</v>
      </c>
      <c r="O90" s="984"/>
      <c r="P90" s="1029">
        <f ca="1">IF($N90&lt;&gt;0,TEXT(VLOOKUP($N90,Gebaeude!$B$18:$G$95,2,FALSE),"0"),0)</f>
        <v>0</v>
      </c>
      <c r="Q90" s="985"/>
      <c r="R90" s="1030">
        <f t="shared" ca="1" si="13"/>
        <v>0</v>
      </c>
      <c r="S90" s="1030" t="str">
        <f t="shared" ca="1" si="14"/>
        <v>N</v>
      </c>
      <c r="T90" s="1030">
        <f t="shared" ca="1" si="15"/>
        <v>0</v>
      </c>
      <c r="U90" s="986"/>
      <c r="V90" s="983" t="s">
        <v>2743</v>
      </c>
      <c r="W90" s="1040" t="s">
        <v>2737</v>
      </c>
      <c r="X90" s="1040" t="s">
        <v>2733</v>
      </c>
      <c r="Y90" s="983"/>
    </row>
    <row r="91" spans="1:25" s="62" customFormat="1">
      <c r="A91" s="120" t="str">
        <f ca="1">LEFT(IF($N91&lt;&gt;0,$N91&amp;": "&amp;VLOOKUP($N91,Gebaeude!$B$18:$G$95,2,FALSE)&amp;" "&amp;VLOOKUP($N91,Gebaeude!$B$18:$G$95,4,FALSE),""),40)</f>
        <v/>
      </c>
      <c r="B91" s="1014">
        <f ca="1">IF($N91&lt;&gt;0,TEXT(VLOOKUP($N91,Gebaeude!$B$18:$G$95,5,FALSE),"0"),0)</f>
        <v>0</v>
      </c>
      <c r="C91" s="1014" t="str">
        <f ca="1">IF($N91&lt;&gt;0,TEXT(VLOOKUP($N91,Gebaeude!$B$18:$G$95,6,FALSE),"0,000"),"")</f>
        <v/>
      </c>
      <c r="D91" s="134" t="str">
        <f ca="1">IF(AND($N91&lt;&gt;0, LEFT($N91,1)="W"),TEXT(VLOOKUP($N91,Gebaeude!$B$131:$F$142,5,FALSE),"0,00"),"")</f>
        <v/>
      </c>
      <c r="E91" s="996" t="str">
        <f t="shared" ca="1" si="9"/>
        <v/>
      </c>
      <c r="F91" s="996" t="str">
        <f t="shared" ca="1" si="10"/>
        <v/>
      </c>
      <c r="G91" s="996" t="str">
        <f t="shared" ca="1" si="11"/>
        <v/>
      </c>
      <c r="H91" s="996" t="str">
        <f t="shared" ca="1" si="12"/>
        <v/>
      </c>
      <c r="L91" s="1037"/>
      <c r="N91" s="983">
        <f ca="1"/>
        <v>0</v>
      </c>
      <c r="O91" s="984"/>
      <c r="P91" s="1029">
        <f ca="1">IF($N91&lt;&gt;0,TEXT(VLOOKUP($N91,Gebaeude!$B$18:$G$95,2,FALSE),"0"),0)</f>
        <v>0</v>
      </c>
      <c r="Q91" s="985"/>
      <c r="R91" s="1030">
        <f t="shared" ca="1" si="13"/>
        <v>0</v>
      </c>
      <c r="S91" s="1030" t="str">
        <f t="shared" ca="1" si="14"/>
        <v>N</v>
      </c>
      <c r="T91" s="1030">
        <f t="shared" ca="1" si="15"/>
        <v>0</v>
      </c>
      <c r="U91" s="986"/>
      <c r="V91" s="983" t="s">
        <v>2744</v>
      </c>
      <c r="W91" s="1040" t="s">
        <v>351</v>
      </c>
      <c r="X91" s="1040" t="s">
        <v>2733</v>
      </c>
      <c r="Y91" s="983"/>
    </row>
    <row r="92" spans="1:25" s="62" customFormat="1">
      <c r="A92" s="120" t="str">
        <f ca="1">LEFT(IF($N92&lt;&gt;0,$N92&amp;": "&amp;VLOOKUP($N92,Gebaeude!$B$18:$G$95,2,FALSE)&amp;" "&amp;VLOOKUP($N92,Gebaeude!$B$18:$G$95,4,FALSE),""),40)</f>
        <v/>
      </c>
      <c r="B92" s="1014">
        <f ca="1">IF($N92&lt;&gt;0,TEXT(VLOOKUP($N92,Gebaeude!$B$18:$G$95,5,FALSE),"0"),0)</f>
        <v>0</v>
      </c>
      <c r="C92" s="1014" t="str">
        <f ca="1">IF($N92&lt;&gt;0,TEXT(VLOOKUP($N92,Gebaeude!$B$18:$G$95,6,FALSE),"0,000"),"")</f>
        <v/>
      </c>
      <c r="D92" s="134" t="str">
        <f ca="1">IF(AND($N92&lt;&gt;0, LEFT($N92,1)="W"),TEXT(VLOOKUP($N92,Gebaeude!$B$131:$F$142,5,FALSE),"0,00"),"")</f>
        <v/>
      </c>
      <c r="E92" s="996" t="str">
        <f t="shared" ca="1" si="9"/>
        <v/>
      </c>
      <c r="F92" s="996" t="str">
        <f t="shared" ca="1" si="10"/>
        <v/>
      </c>
      <c r="G92" s="996" t="str">
        <f t="shared" ca="1" si="11"/>
        <v/>
      </c>
      <c r="H92" s="996" t="str">
        <f t="shared" ca="1" si="12"/>
        <v/>
      </c>
      <c r="L92" s="46"/>
      <c r="N92" s="983">
        <f ca="1"/>
        <v>0</v>
      </c>
      <c r="O92" s="984"/>
      <c r="P92" s="1029">
        <f ca="1">IF($N92&lt;&gt;0,TEXT(VLOOKUP($N92,Gebaeude!$B$18:$G$95,2,FALSE),"0"),0)</f>
        <v>0</v>
      </c>
      <c r="Q92" s="985"/>
      <c r="R92" s="1030">
        <f t="shared" ca="1" si="13"/>
        <v>0</v>
      </c>
      <c r="S92" s="1030" t="str">
        <f t="shared" ca="1" si="14"/>
        <v>N</v>
      </c>
      <c r="T92" s="1030">
        <f t="shared" ca="1" si="15"/>
        <v>0</v>
      </c>
      <c r="U92" s="986"/>
      <c r="V92" s="983" t="s">
        <v>2749</v>
      </c>
      <c r="W92" s="1040" t="s">
        <v>351</v>
      </c>
      <c r="X92" s="1040" t="s">
        <v>2734</v>
      </c>
      <c r="Y92" s="988"/>
    </row>
    <row r="93" spans="1:25" s="62" customFormat="1">
      <c r="A93" s="120" t="str">
        <f ca="1">LEFT(IF($N93&lt;&gt;0,$N93&amp;": "&amp;VLOOKUP($N93,Gebaeude!$B$18:$G$95,2,FALSE)&amp;" "&amp;VLOOKUP($N93,Gebaeude!$B$18:$G$95,4,FALSE),""),40)</f>
        <v/>
      </c>
      <c r="B93" s="1014">
        <f ca="1">IF($N93&lt;&gt;0,TEXT(VLOOKUP($N93,Gebaeude!$B$18:$G$95,5,FALSE),"0"),0)</f>
        <v>0</v>
      </c>
      <c r="C93" s="1014" t="str">
        <f ca="1">IF($N93&lt;&gt;0,TEXT(VLOOKUP($N93,Gebaeude!$B$18:$G$95,6,FALSE),"0,000"),"")</f>
        <v/>
      </c>
      <c r="D93" s="134" t="str">
        <f ca="1">IF(AND($N93&lt;&gt;0, LEFT($N93,1)="W"),TEXT(VLOOKUP($N93,Gebaeude!$B$131:$F$142,5,FALSE),"0,00"),"")</f>
        <v/>
      </c>
      <c r="E93" s="996" t="str">
        <f t="shared" ca="1" si="9"/>
        <v/>
      </c>
      <c r="F93" s="996" t="str">
        <f t="shared" ca="1" si="10"/>
        <v/>
      </c>
      <c r="G93" s="996" t="str">
        <f t="shared" ca="1" si="11"/>
        <v/>
      </c>
      <c r="H93" s="996" t="str">
        <f t="shared" ca="1" si="12"/>
        <v/>
      </c>
      <c r="L93" s="46"/>
      <c r="N93" s="983">
        <f ca="1"/>
        <v>0</v>
      </c>
      <c r="O93" s="984"/>
      <c r="P93" s="1029">
        <f ca="1">IF($N93&lt;&gt;0,TEXT(VLOOKUP($N93,Gebaeude!$B$18:$G$95,2,FALSE),"0"),0)</f>
        <v>0</v>
      </c>
      <c r="Q93" s="985"/>
      <c r="R93" s="1030">
        <f t="shared" ca="1" si="13"/>
        <v>0</v>
      </c>
      <c r="S93" s="1030" t="str">
        <f t="shared" ca="1" si="14"/>
        <v>N</v>
      </c>
      <c r="T93" s="1030">
        <f t="shared" ca="1" si="15"/>
        <v>0</v>
      </c>
      <c r="U93" s="986"/>
      <c r="V93" s="983" t="s">
        <v>2746</v>
      </c>
      <c r="W93" s="1040" t="s">
        <v>2737</v>
      </c>
      <c r="X93" s="1040" t="s">
        <v>2734</v>
      </c>
      <c r="Y93" s="983"/>
    </row>
    <row r="94" spans="1:25" s="62" customFormat="1">
      <c r="A94" s="120" t="str">
        <f ca="1">LEFT(IF($N94&lt;&gt;0,$N94&amp;": "&amp;VLOOKUP($N94,Gebaeude!$B$18:$G$95,2,FALSE)&amp;" "&amp;VLOOKUP($N94,Gebaeude!$B$18:$G$95,4,FALSE),""),40)</f>
        <v/>
      </c>
      <c r="B94" s="1014">
        <f ca="1">IF($N94&lt;&gt;0,TEXT(VLOOKUP($N94,Gebaeude!$B$18:$G$95,5,FALSE),"0"),0)</f>
        <v>0</v>
      </c>
      <c r="C94" s="1014" t="str">
        <f ca="1">IF($N94&lt;&gt;0,TEXT(VLOOKUP($N94,Gebaeude!$B$18:$G$95,6,FALSE),"0,000"),"")</f>
        <v/>
      </c>
      <c r="D94" s="134" t="str">
        <f ca="1">IF(AND($N94&lt;&gt;0, LEFT($N94,1)="W"),TEXT(VLOOKUP($N94,Gebaeude!$B$131:$F$142,5,FALSE),"0,00"),"")</f>
        <v/>
      </c>
      <c r="E94" s="996" t="str">
        <f t="shared" ca="1" si="9"/>
        <v/>
      </c>
      <c r="F94" s="996" t="str">
        <f t="shared" ca="1" si="10"/>
        <v/>
      </c>
      <c r="G94" s="996" t="str">
        <f t="shared" ca="1" si="11"/>
        <v/>
      </c>
      <c r="H94" s="996" t="str">
        <f t="shared" ca="1" si="12"/>
        <v/>
      </c>
      <c r="L94" s="46"/>
      <c r="N94" s="983">
        <f ca="1"/>
        <v>0</v>
      </c>
      <c r="O94" s="984"/>
      <c r="P94" s="1029">
        <f ca="1">IF($N94&lt;&gt;0,TEXT(VLOOKUP($N94,Gebaeude!$B$18:$G$95,2,FALSE),"0"),0)</f>
        <v>0</v>
      </c>
      <c r="Q94" s="985"/>
      <c r="R94" s="1030">
        <f t="shared" ca="1" si="13"/>
        <v>0</v>
      </c>
      <c r="S94" s="1030" t="str">
        <f t="shared" ca="1" si="14"/>
        <v>N</v>
      </c>
      <c r="T94" s="1030">
        <f t="shared" ca="1" si="15"/>
        <v>0</v>
      </c>
      <c r="U94" s="986"/>
      <c r="V94" s="983" t="s">
        <v>337</v>
      </c>
      <c r="W94" s="1040" t="s">
        <v>2737</v>
      </c>
      <c r="X94" s="1040" t="s">
        <v>2734</v>
      </c>
      <c r="Y94" s="983"/>
    </row>
    <row r="95" spans="1:25" s="62" customFormat="1">
      <c r="A95" s="120" t="str">
        <f ca="1">LEFT(IF($N95&lt;&gt;0,$N95&amp;": "&amp;VLOOKUP($N95,Gebaeude!$B$18:$G$95,2,FALSE)&amp;" "&amp;VLOOKUP($N95,Gebaeude!$B$18:$G$95,4,FALSE),""),40)</f>
        <v/>
      </c>
      <c r="B95" s="1014">
        <f ca="1">IF($N95&lt;&gt;0,TEXT(VLOOKUP($N95,Gebaeude!$B$18:$G$95,5,FALSE),"0"),0)</f>
        <v>0</v>
      </c>
      <c r="C95" s="1014" t="str">
        <f ca="1">IF($N95&lt;&gt;0,TEXT(VLOOKUP($N95,Gebaeude!$B$18:$G$95,6,FALSE),"0,000"),"")</f>
        <v/>
      </c>
      <c r="D95" s="134" t="str">
        <f ca="1">IF(AND($N95&lt;&gt;0, LEFT($N95,1)="W"),TEXT(VLOOKUP($N95,Gebaeude!$B$131:$F$142,5,FALSE),"0,00"),"")</f>
        <v/>
      </c>
      <c r="E95" s="996" t="str">
        <f t="shared" ca="1" si="9"/>
        <v/>
      </c>
      <c r="F95" s="996" t="str">
        <f t="shared" ca="1" si="10"/>
        <v/>
      </c>
      <c r="G95" s="996" t="str">
        <f t="shared" ca="1" si="11"/>
        <v/>
      </c>
      <c r="H95" s="996" t="str">
        <f t="shared" ca="1" si="12"/>
        <v/>
      </c>
      <c r="L95" s="46"/>
      <c r="N95" s="983">
        <f ca="1"/>
        <v>0</v>
      </c>
      <c r="O95" s="984"/>
      <c r="P95" s="1029">
        <f ca="1">IF($N95&lt;&gt;0,TEXT(VLOOKUP($N95,Gebaeude!$B$18:$G$95,2,FALSE),"0"),0)</f>
        <v>0</v>
      </c>
      <c r="Q95" s="985"/>
      <c r="R95" s="1030">
        <f t="shared" ca="1" si="13"/>
        <v>0</v>
      </c>
      <c r="S95" s="1030" t="str">
        <f t="shared" ca="1" si="14"/>
        <v>N</v>
      </c>
      <c r="T95" s="1030">
        <f t="shared" ca="1" si="15"/>
        <v>0</v>
      </c>
      <c r="U95" s="986"/>
      <c r="V95" s="983" t="s">
        <v>2747</v>
      </c>
      <c r="W95" s="1040" t="s">
        <v>2737</v>
      </c>
      <c r="X95" s="1040" t="s">
        <v>2735</v>
      </c>
      <c r="Y95" s="983"/>
    </row>
    <row r="96" spans="1:25" s="62" customFormat="1" ht="15" thickBot="1">
      <c r="A96" s="120" t="str">
        <f ca="1">LEFT(IF($N96&lt;&gt;0,$N96&amp;": "&amp;VLOOKUP($N96,Gebaeude!$B$18:$G$95,2,FALSE)&amp;" "&amp;VLOOKUP($N96,Gebaeude!$B$18:$G$95,4,FALSE),""),40)</f>
        <v/>
      </c>
      <c r="B96" s="1014">
        <f ca="1">IF($N96&lt;&gt;0,TEXT(VLOOKUP($N96,Gebaeude!$B$18:$G$95,5,FALSE),"0"),0)</f>
        <v>0</v>
      </c>
      <c r="C96" s="1014" t="str">
        <f ca="1">IF($N96&lt;&gt;0,TEXT(VLOOKUP($N96,Gebaeude!$B$18:$G$95,6,FALSE),"0,000"),"")</f>
        <v/>
      </c>
      <c r="D96" s="134" t="str">
        <f ca="1">IF(AND($N96&lt;&gt;0, LEFT($N96,1)="W"),TEXT(VLOOKUP($N96,Gebaeude!$B$131:$F$142,5,FALSE),"0,00"),"")</f>
        <v/>
      </c>
      <c r="E96" s="996" t="str">
        <f t="shared" ca="1" si="9"/>
        <v/>
      </c>
      <c r="F96" s="996" t="str">
        <f t="shared" ca="1" si="10"/>
        <v/>
      </c>
      <c r="G96" s="996" t="str">
        <f t="shared" ca="1" si="11"/>
        <v/>
      </c>
      <c r="H96" s="996" t="str">
        <f t="shared" ca="1" si="12"/>
        <v/>
      </c>
      <c r="L96" s="46"/>
      <c r="N96" s="983">
        <f ca="1"/>
        <v>0</v>
      </c>
      <c r="O96" s="984"/>
      <c r="P96" s="1029">
        <f ca="1">IF($N96&lt;&gt;0,TEXT(VLOOKUP($N96,Gebaeude!$B$18:$G$95,2,FALSE),"0"),0)</f>
        <v>0</v>
      </c>
      <c r="Q96" s="985"/>
      <c r="R96" s="1030">
        <f t="shared" ca="1" si="13"/>
        <v>0</v>
      </c>
      <c r="S96" s="1030" t="str">
        <f t="shared" ca="1" si="14"/>
        <v>N</v>
      </c>
      <c r="T96" s="1030">
        <f t="shared" ca="1" si="15"/>
        <v>0</v>
      </c>
      <c r="U96" s="986"/>
      <c r="V96" s="983" t="s">
        <v>2748</v>
      </c>
      <c r="W96" s="1041" t="s">
        <v>2737</v>
      </c>
      <c r="X96" s="1041" t="s">
        <v>2733</v>
      </c>
      <c r="Y96" s="983"/>
    </row>
    <row r="97" spans="1:25" s="62" customFormat="1">
      <c r="A97" s="120" t="str">
        <f ca="1">LEFT(IF($N97&lt;&gt;0,$N97&amp;": "&amp;VLOOKUP($N97,Gebaeude!$B$18:$G$95,2,FALSE)&amp;" "&amp;VLOOKUP($N97,Gebaeude!$B$18:$G$95,4,FALSE),""),40)</f>
        <v/>
      </c>
      <c r="B97" s="1014">
        <f ca="1">IF($N97&lt;&gt;0,TEXT(VLOOKUP($N97,Gebaeude!$B$18:$G$95,5,FALSE),"0"),0)</f>
        <v>0</v>
      </c>
      <c r="C97" s="1014" t="str">
        <f ca="1">IF($N97&lt;&gt;0,TEXT(VLOOKUP($N97,Gebaeude!$B$18:$G$95,6,FALSE),"0,000"),"")</f>
        <v/>
      </c>
      <c r="D97" s="134" t="str">
        <f ca="1">IF(AND($N97&lt;&gt;0, LEFT($N97,1)="W"),TEXT(VLOOKUP($N97,Gebaeude!$B$131:$F$142,5,FALSE),"0,00"),"")</f>
        <v/>
      </c>
      <c r="E97" s="996" t="str">
        <f t="shared" ref="E97:E114" ca="1" si="16">IF(AND($B97&gt;0,$B97&lt;&gt;""),Plausibilitaet(A97,V$64),"")</f>
        <v/>
      </c>
      <c r="F97" s="996" t="str">
        <f t="shared" ref="F97:F114" ca="1" si="17">IF(AND($B97&gt;0,$B97&lt;&gt;""),Plausibilitaet(B97,W$64),"")</f>
        <v/>
      </c>
      <c r="G97" s="996" t="str">
        <f t="shared" ref="G97:G114" ca="1" si="18">IF(AND($B97&gt;0,$B97&lt;&gt;""),Plausibilitaet(C97,X$64),"")</f>
        <v/>
      </c>
      <c r="H97" s="996" t="str">
        <f t="shared" ref="H97:H114" ca="1" si="19">IF(AND($B97&gt;0, LEFT($N97,1)="W"),Plausibilitaet(D97,Y$64),"")</f>
        <v/>
      </c>
      <c r="L97" s="46"/>
      <c r="N97" s="983">
        <f ca="1"/>
        <v>0</v>
      </c>
      <c r="O97" s="984"/>
      <c r="P97" s="1029">
        <f ca="1">IF($N97&lt;&gt;0,TEXT(VLOOKUP($N97,Gebaeude!$B$18:$G$95,2,FALSE),"0"),0)</f>
        <v>0</v>
      </c>
      <c r="Q97" s="985"/>
      <c r="R97" s="1030">
        <f t="shared" ref="R97:R114" ca="1" si="20">IF($N97&lt;&gt;0,VLOOKUP(LEFT(N97,2),$V$88:$W$96,2,FALSE),0)</f>
        <v>0</v>
      </c>
      <c r="S97" s="1030" t="str">
        <f t="shared" ref="S97:S114" ca="1" si="21">IF(ISERROR(MATCH(P97,$V$67:$V$75,0))=FALSE,VLOOKUP(P97,$V$67:$W$75,2,FALSE),"N")</f>
        <v>N</v>
      </c>
      <c r="T97" s="1030">
        <f t="shared" ref="T97:T114" ca="1" si="22">IF($N97&lt;&gt;0,VLOOKUP(LEFT(N97,2),$V$88:$X$96,3,FALSE),0)</f>
        <v>0</v>
      </c>
      <c r="U97" s="986"/>
      <c r="V97" s="987"/>
      <c r="W97" s="988"/>
      <c r="X97" s="988"/>
      <c r="Y97" s="988"/>
    </row>
    <row r="98" spans="1:25" s="62" customFormat="1">
      <c r="A98" s="120" t="str">
        <f ca="1">LEFT(IF($N98&lt;&gt;0,$N98&amp;": "&amp;VLOOKUP($N98,Gebaeude!$B$18:$G$95,2,FALSE)&amp;" "&amp;VLOOKUP($N98,Gebaeude!$B$18:$G$95,4,FALSE),""),40)</f>
        <v/>
      </c>
      <c r="B98" s="1014">
        <f ca="1">IF($N98&lt;&gt;0,TEXT(VLOOKUP($N98,Gebaeude!$B$18:$G$95,5,FALSE),"0"),0)</f>
        <v>0</v>
      </c>
      <c r="C98" s="1014" t="str">
        <f ca="1">IF($N98&lt;&gt;0,TEXT(VLOOKUP($N98,Gebaeude!$B$18:$G$95,6,FALSE),"0,000"),"")</f>
        <v/>
      </c>
      <c r="D98" s="134" t="str">
        <f ca="1">IF(AND($N98&lt;&gt;0, LEFT($N98,1)="W"),TEXT(VLOOKUP($N98,Gebaeude!$B$131:$F$142,5,FALSE),"0,00"),"")</f>
        <v/>
      </c>
      <c r="E98" s="996" t="str">
        <f t="shared" ca="1" si="16"/>
        <v/>
      </c>
      <c r="F98" s="996" t="str">
        <f t="shared" ca="1" si="17"/>
        <v/>
      </c>
      <c r="G98" s="996" t="str">
        <f t="shared" ca="1" si="18"/>
        <v/>
      </c>
      <c r="H98" s="996" t="str">
        <f t="shared" ca="1" si="19"/>
        <v/>
      </c>
      <c r="L98" s="46"/>
      <c r="N98" s="983">
        <f ca="1"/>
        <v>0</v>
      </c>
      <c r="O98" s="984"/>
      <c r="P98" s="1029">
        <f ca="1">IF($N98&lt;&gt;0,TEXT(VLOOKUP($N98,Gebaeude!$B$18:$G$95,2,FALSE),"0"),0)</f>
        <v>0</v>
      </c>
      <c r="Q98" s="985"/>
      <c r="R98" s="1030">
        <f t="shared" ca="1" si="20"/>
        <v>0</v>
      </c>
      <c r="S98" s="1030" t="str">
        <f t="shared" ca="1" si="21"/>
        <v>N</v>
      </c>
      <c r="T98" s="1030">
        <f t="shared" ca="1" si="22"/>
        <v>0</v>
      </c>
      <c r="U98" s="986"/>
      <c r="V98" s="987"/>
      <c r="W98" s="983"/>
      <c r="X98" s="983"/>
      <c r="Y98" s="983"/>
    </row>
    <row r="99" spans="1:25" s="62" customFormat="1">
      <c r="A99" s="120" t="str">
        <f ca="1">LEFT(IF($N99&lt;&gt;0,$N99&amp;": "&amp;VLOOKUP($N99,Gebaeude!$B$18:$G$95,2,FALSE)&amp;" "&amp;VLOOKUP($N99,Gebaeude!$B$18:$G$95,4,FALSE),""),40)</f>
        <v/>
      </c>
      <c r="B99" s="1014">
        <f ca="1">IF($N99&lt;&gt;0,TEXT(VLOOKUP($N99,Gebaeude!$B$18:$G$95,5,FALSE),"0"),0)</f>
        <v>0</v>
      </c>
      <c r="C99" s="1014" t="str">
        <f ca="1">IF($N99&lt;&gt;0,TEXT(VLOOKUP($N99,Gebaeude!$B$18:$G$95,6,FALSE),"0,000"),"")</f>
        <v/>
      </c>
      <c r="D99" s="134" t="str">
        <f ca="1">IF(AND($N99&lt;&gt;0, LEFT($N99,1)="W"),TEXT(VLOOKUP($N99,Gebaeude!$B$131:$F$142,5,FALSE),"0,00"),"")</f>
        <v/>
      </c>
      <c r="E99" s="996" t="str">
        <f t="shared" ca="1" si="16"/>
        <v/>
      </c>
      <c r="F99" s="996" t="str">
        <f t="shared" ca="1" si="17"/>
        <v/>
      </c>
      <c r="G99" s="996" t="str">
        <f t="shared" ca="1" si="18"/>
        <v/>
      </c>
      <c r="H99" s="996" t="str">
        <f t="shared" ca="1" si="19"/>
        <v/>
      </c>
      <c r="L99" s="1037"/>
      <c r="N99" s="983">
        <f ca="1"/>
        <v>0</v>
      </c>
      <c r="O99" s="984"/>
      <c r="P99" s="1029">
        <f ca="1">IF($N99&lt;&gt;0,TEXT(VLOOKUP($N99,Gebaeude!$B$18:$G$95,2,FALSE),"0"),0)</f>
        <v>0</v>
      </c>
      <c r="Q99" s="985"/>
      <c r="R99" s="1030">
        <f t="shared" ca="1" si="20"/>
        <v>0</v>
      </c>
      <c r="S99" s="1030" t="str">
        <f t="shared" ca="1" si="21"/>
        <v>N</v>
      </c>
      <c r="T99" s="1030">
        <f t="shared" ca="1" si="22"/>
        <v>0</v>
      </c>
      <c r="U99" s="986"/>
      <c r="V99" s="987"/>
      <c r="W99" s="983"/>
      <c r="X99" s="983"/>
      <c r="Y99" s="983"/>
    </row>
    <row r="100" spans="1:25" s="62" customFormat="1">
      <c r="A100" s="120" t="str">
        <f ca="1">LEFT(IF($N100&lt;&gt;0,$N100&amp;": "&amp;VLOOKUP($N100,Gebaeude!$B$18:$G$95,2,FALSE)&amp;" "&amp;VLOOKUP($N100,Gebaeude!$B$18:$G$95,4,FALSE),""),40)</f>
        <v/>
      </c>
      <c r="B100" s="1014">
        <f ca="1">IF($N100&lt;&gt;0,TEXT(VLOOKUP($N100,Gebaeude!$B$18:$G$95,5,FALSE),"0"),0)</f>
        <v>0</v>
      </c>
      <c r="C100" s="1014" t="str">
        <f ca="1">IF($N100&lt;&gt;0,TEXT(VLOOKUP($N100,Gebaeude!$B$18:$G$95,6,FALSE),"0,000"),"")</f>
        <v/>
      </c>
      <c r="D100" s="134" t="str">
        <f ca="1">IF(AND($N100&lt;&gt;0, LEFT($N100,1)="W"),TEXT(VLOOKUP($N100,Gebaeude!$B$131:$F$142,5,FALSE),"0,00"),"")</f>
        <v/>
      </c>
      <c r="E100" s="996" t="str">
        <f t="shared" ca="1" si="16"/>
        <v/>
      </c>
      <c r="F100" s="996" t="str">
        <f t="shared" ca="1" si="17"/>
        <v/>
      </c>
      <c r="G100" s="996" t="str">
        <f t="shared" ca="1" si="18"/>
        <v/>
      </c>
      <c r="H100" s="996" t="str">
        <f t="shared" ca="1" si="19"/>
        <v/>
      </c>
      <c r="L100" s="46"/>
      <c r="N100" s="983">
        <f ca="1"/>
        <v>0</v>
      </c>
      <c r="O100" s="984"/>
      <c r="P100" s="1029">
        <f ca="1">IF($N100&lt;&gt;0,TEXT(VLOOKUP($N100,Gebaeude!$B$18:$G$95,2,FALSE),"0"),0)</f>
        <v>0</v>
      </c>
      <c r="Q100" s="985"/>
      <c r="R100" s="1030">
        <f t="shared" ca="1" si="20"/>
        <v>0</v>
      </c>
      <c r="S100" s="1030" t="str">
        <f t="shared" ca="1" si="21"/>
        <v>N</v>
      </c>
      <c r="T100" s="1030">
        <f t="shared" ca="1" si="22"/>
        <v>0</v>
      </c>
      <c r="U100" s="986"/>
      <c r="V100" s="987"/>
      <c r="W100" s="983"/>
      <c r="X100" s="983"/>
      <c r="Y100" s="983"/>
    </row>
    <row r="101" spans="1:25" s="62" customFormat="1">
      <c r="A101" s="120" t="str">
        <f ca="1">LEFT(IF($N101&lt;&gt;0,$N101&amp;": "&amp;VLOOKUP($N101,Gebaeude!$B$18:$G$95,2,FALSE)&amp;" "&amp;VLOOKUP($N101,Gebaeude!$B$18:$G$95,4,FALSE),""),40)</f>
        <v/>
      </c>
      <c r="B101" s="1014">
        <f ca="1">IF($N101&lt;&gt;0,TEXT(VLOOKUP($N101,Gebaeude!$B$18:$G$95,5,FALSE),"0"),0)</f>
        <v>0</v>
      </c>
      <c r="C101" s="1014" t="str">
        <f ca="1">IF($N101&lt;&gt;0,TEXT(VLOOKUP($N101,Gebaeude!$B$18:$G$95,6,FALSE),"0,000"),"")</f>
        <v/>
      </c>
      <c r="D101" s="134" t="str">
        <f ca="1">IF(AND($N101&lt;&gt;0, LEFT($N101,1)="W"),TEXT(VLOOKUP($N101,Gebaeude!$B$131:$F$142,5,FALSE),"0,00"),"")</f>
        <v/>
      </c>
      <c r="E101" s="996" t="str">
        <f t="shared" ca="1" si="16"/>
        <v/>
      </c>
      <c r="F101" s="996" t="str">
        <f t="shared" ca="1" si="17"/>
        <v/>
      </c>
      <c r="G101" s="996" t="str">
        <f t="shared" ca="1" si="18"/>
        <v/>
      </c>
      <c r="H101" s="996" t="str">
        <f t="shared" ca="1" si="19"/>
        <v/>
      </c>
      <c r="L101" s="46"/>
      <c r="N101" s="983">
        <f ca="1"/>
        <v>0</v>
      </c>
      <c r="O101" s="984"/>
      <c r="P101" s="1029">
        <f ca="1">IF($N101&lt;&gt;0,TEXT(VLOOKUP($N101,Gebaeude!$B$18:$G$95,2,FALSE),"0"),0)</f>
        <v>0</v>
      </c>
      <c r="Q101" s="985"/>
      <c r="R101" s="1030">
        <f t="shared" ca="1" si="20"/>
        <v>0</v>
      </c>
      <c r="S101" s="1030" t="str">
        <f t="shared" ca="1" si="21"/>
        <v>N</v>
      </c>
      <c r="T101" s="1030">
        <f t="shared" ca="1" si="22"/>
        <v>0</v>
      </c>
      <c r="U101" s="986"/>
      <c r="V101" s="987"/>
      <c r="W101" s="983"/>
      <c r="X101" s="983"/>
      <c r="Y101" s="983"/>
    </row>
    <row r="102" spans="1:25" s="62" customFormat="1">
      <c r="A102" s="120" t="str">
        <f ca="1">LEFT(IF($N102&lt;&gt;0,$N102&amp;": "&amp;VLOOKUP($N102,Gebaeude!$B$18:$G$95,2,FALSE)&amp;" "&amp;VLOOKUP($N102,Gebaeude!$B$18:$G$95,4,FALSE),""),40)</f>
        <v/>
      </c>
      <c r="B102" s="1014">
        <f ca="1">IF($N102&lt;&gt;0,TEXT(VLOOKUP($N102,Gebaeude!$B$18:$G$95,5,FALSE),"0"),0)</f>
        <v>0</v>
      </c>
      <c r="C102" s="1014" t="str">
        <f ca="1">IF($N102&lt;&gt;0,TEXT(VLOOKUP($N102,Gebaeude!$B$18:$G$95,6,FALSE),"0,000"),"")</f>
        <v/>
      </c>
      <c r="D102" s="134" t="str">
        <f ca="1">IF(AND($N102&lt;&gt;0, LEFT($N102,1)="W"),TEXT(VLOOKUP($N102,Gebaeude!$B$131:$F$142,5,FALSE),"0,00"),"")</f>
        <v/>
      </c>
      <c r="E102" s="996" t="str">
        <f t="shared" ca="1" si="16"/>
        <v/>
      </c>
      <c r="F102" s="996" t="str">
        <f t="shared" ca="1" si="17"/>
        <v/>
      </c>
      <c r="G102" s="996" t="str">
        <f t="shared" ca="1" si="18"/>
        <v/>
      </c>
      <c r="H102" s="996" t="str">
        <f t="shared" ca="1" si="19"/>
        <v/>
      </c>
      <c r="L102" s="46"/>
      <c r="N102" s="983">
        <f ca="1"/>
        <v>0</v>
      </c>
      <c r="O102" s="984"/>
      <c r="P102" s="1029">
        <f ca="1">IF($N102&lt;&gt;0,TEXT(VLOOKUP($N102,Gebaeude!$B$18:$G$95,2,FALSE),"0"),0)</f>
        <v>0</v>
      </c>
      <c r="Q102" s="985"/>
      <c r="R102" s="1030">
        <f t="shared" ca="1" si="20"/>
        <v>0</v>
      </c>
      <c r="S102" s="1030" t="str">
        <f t="shared" ca="1" si="21"/>
        <v>N</v>
      </c>
      <c r="T102" s="1030">
        <f t="shared" ca="1" si="22"/>
        <v>0</v>
      </c>
      <c r="U102" s="986"/>
      <c r="V102" s="987"/>
      <c r="W102" s="983"/>
      <c r="X102" s="983"/>
      <c r="Y102" s="983"/>
    </row>
    <row r="103" spans="1:25" s="62" customFormat="1">
      <c r="A103" s="120" t="str">
        <f ca="1">LEFT(IF($N103&lt;&gt;0,$N103&amp;": "&amp;VLOOKUP($N103,Gebaeude!$B$18:$G$95,2,FALSE)&amp;" "&amp;VLOOKUP($N103,Gebaeude!$B$18:$G$95,4,FALSE),""),40)</f>
        <v/>
      </c>
      <c r="B103" s="1014">
        <f ca="1">IF($N103&lt;&gt;0,TEXT(VLOOKUP($N103,Gebaeude!$B$18:$G$95,5,FALSE),"0"),0)</f>
        <v>0</v>
      </c>
      <c r="C103" s="1014" t="str">
        <f ca="1">IF($N103&lt;&gt;0,TEXT(VLOOKUP($N103,Gebaeude!$B$18:$G$95,6,FALSE),"0,000"),"")</f>
        <v/>
      </c>
      <c r="D103" s="134" t="str">
        <f ca="1">IF(AND($N103&lt;&gt;0, LEFT($N103,1)="W"),TEXT(VLOOKUP($N103,Gebaeude!$B$131:$F$142,5,FALSE),"0,00"),"")</f>
        <v/>
      </c>
      <c r="E103" s="996" t="str">
        <f t="shared" ca="1" si="16"/>
        <v/>
      </c>
      <c r="F103" s="996" t="str">
        <f t="shared" ca="1" si="17"/>
        <v/>
      </c>
      <c r="G103" s="996" t="str">
        <f t="shared" ca="1" si="18"/>
        <v/>
      </c>
      <c r="H103" s="996" t="str">
        <f t="shared" ca="1" si="19"/>
        <v/>
      </c>
      <c r="L103" s="46"/>
      <c r="N103" s="983">
        <f ca="1"/>
        <v>0</v>
      </c>
      <c r="O103" s="984"/>
      <c r="P103" s="1029">
        <f ca="1">IF($N103&lt;&gt;0,TEXT(VLOOKUP($N103,Gebaeude!$B$18:$G$95,2,FALSE),"0"),0)</f>
        <v>0</v>
      </c>
      <c r="Q103" s="985"/>
      <c r="R103" s="1030">
        <f t="shared" ca="1" si="20"/>
        <v>0</v>
      </c>
      <c r="S103" s="1030" t="str">
        <f t="shared" ca="1" si="21"/>
        <v>N</v>
      </c>
      <c r="T103" s="1030">
        <f t="shared" ca="1" si="22"/>
        <v>0</v>
      </c>
      <c r="U103" s="986"/>
      <c r="V103" s="987"/>
      <c r="W103" s="983"/>
      <c r="X103" s="983"/>
      <c r="Y103" s="983"/>
    </row>
    <row r="104" spans="1:25" s="62" customFormat="1">
      <c r="A104" s="120" t="str">
        <f ca="1">LEFT(IF($N104&lt;&gt;0,$N104&amp;": "&amp;VLOOKUP($N104,Gebaeude!$B$18:$G$95,2,FALSE)&amp;" "&amp;VLOOKUP($N104,Gebaeude!$B$18:$G$95,4,FALSE),""),40)</f>
        <v/>
      </c>
      <c r="B104" s="1014">
        <f ca="1">IF($N104&lt;&gt;0,TEXT(VLOOKUP($N104,Gebaeude!$B$18:$G$95,5,FALSE),"0"),0)</f>
        <v>0</v>
      </c>
      <c r="C104" s="1014" t="str">
        <f ca="1">IF($N104&lt;&gt;0,TEXT(VLOOKUP($N104,Gebaeude!$B$18:$G$95,6,FALSE),"0,000"),"")</f>
        <v/>
      </c>
      <c r="D104" s="134" t="str">
        <f ca="1">IF(AND($N104&lt;&gt;0, LEFT($N104,1)="W"),TEXT(VLOOKUP($N104,Gebaeude!$B$131:$F$142,5,FALSE),"0,00"),"")</f>
        <v/>
      </c>
      <c r="E104" s="996" t="str">
        <f t="shared" ca="1" si="16"/>
        <v/>
      </c>
      <c r="F104" s="996" t="str">
        <f t="shared" ca="1" si="17"/>
        <v/>
      </c>
      <c r="G104" s="996" t="str">
        <f t="shared" ca="1" si="18"/>
        <v/>
      </c>
      <c r="H104" s="996" t="str">
        <f t="shared" ca="1" si="19"/>
        <v/>
      </c>
      <c r="L104" s="46"/>
      <c r="N104" s="983">
        <f ca="1"/>
        <v>0</v>
      </c>
      <c r="O104" s="984"/>
      <c r="P104" s="1029">
        <f ca="1">IF($N104&lt;&gt;0,TEXT(VLOOKUP($N104,Gebaeude!$B$18:$G$95,2,FALSE),"0"),0)</f>
        <v>0</v>
      </c>
      <c r="Q104" s="985"/>
      <c r="R104" s="1030">
        <f t="shared" ca="1" si="20"/>
        <v>0</v>
      </c>
      <c r="S104" s="1030" t="str">
        <f t="shared" ca="1" si="21"/>
        <v>N</v>
      </c>
      <c r="T104" s="1030">
        <f t="shared" ca="1" si="22"/>
        <v>0</v>
      </c>
      <c r="U104" s="986"/>
      <c r="V104" s="987"/>
      <c r="W104" s="983"/>
      <c r="X104" s="983"/>
      <c r="Y104" s="983"/>
    </row>
    <row r="105" spans="1:25" s="62" customFormat="1">
      <c r="A105" s="120" t="str">
        <f ca="1">LEFT(IF($N105&lt;&gt;0,$N105&amp;": "&amp;VLOOKUP($N105,Gebaeude!$B$18:$G$95,2,FALSE)&amp;" "&amp;VLOOKUP($N105,Gebaeude!$B$18:$G$95,4,FALSE),""),40)</f>
        <v/>
      </c>
      <c r="B105" s="1014">
        <f ca="1">IF($N105&lt;&gt;0,TEXT(VLOOKUP($N105,Gebaeude!$B$18:$G$95,5,FALSE),"0"),0)</f>
        <v>0</v>
      </c>
      <c r="C105" s="1014" t="str">
        <f ca="1">IF($N105&lt;&gt;0,TEXT(VLOOKUP($N105,Gebaeude!$B$18:$G$95,6,FALSE),"0,000"),"")</f>
        <v/>
      </c>
      <c r="D105" s="134" t="str">
        <f ca="1">IF(AND($N105&lt;&gt;0, LEFT($N105,1)="W"),TEXT(VLOOKUP($N105,Gebaeude!$B$131:$F$142,5,FALSE),"0,00"),"")</f>
        <v/>
      </c>
      <c r="E105" s="996" t="str">
        <f t="shared" ca="1" si="16"/>
        <v/>
      </c>
      <c r="F105" s="996" t="str">
        <f t="shared" ca="1" si="17"/>
        <v/>
      </c>
      <c r="G105" s="996" t="str">
        <f t="shared" ca="1" si="18"/>
        <v/>
      </c>
      <c r="H105" s="996" t="str">
        <f t="shared" ca="1" si="19"/>
        <v/>
      </c>
      <c r="L105" s="46"/>
      <c r="N105" s="983">
        <f ca="1"/>
        <v>0</v>
      </c>
      <c r="O105" s="984"/>
      <c r="P105" s="1029">
        <f ca="1">IF($N105&lt;&gt;0,TEXT(VLOOKUP($N105,Gebaeude!$B$18:$G$95,2,FALSE),"0"),0)</f>
        <v>0</v>
      </c>
      <c r="Q105" s="985"/>
      <c r="R105" s="1030">
        <f t="shared" ca="1" si="20"/>
        <v>0</v>
      </c>
      <c r="S105" s="1030" t="str">
        <f t="shared" ca="1" si="21"/>
        <v>N</v>
      </c>
      <c r="T105" s="1030">
        <f t="shared" ca="1" si="22"/>
        <v>0</v>
      </c>
      <c r="U105" s="986"/>
      <c r="V105" s="987"/>
      <c r="W105" s="983"/>
      <c r="X105" s="983"/>
      <c r="Y105" s="983"/>
    </row>
    <row r="106" spans="1:25" s="62" customFormat="1">
      <c r="A106" s="120" t="str">
        <f ca="1">LEFT(IF($N106&lt;&gt;0,$N106&amp;": "&amp;VLOOKUP($N106,Gebaeude!$B$18:$G$95,2,FALSE)&amp;" "&amp;VLOOKUP($N106,Gebaeude!$B$18:$G$95,4,FALSE),""),40)</f>
        <v/>
      </c>
      <c r="B106" s="1014">
        <f ca="1">IF($N106&lt;&gt;0,TEXT(VLOOKUP($N106,Gebaeude!$B$18:$G$95,5,FALSE),"0"),0)</f>
        <v>0</v>
      </c>
      <c r="C106" s="1014" t="str">
        <f ca="1">IF($N106&lt;&gt;0,TEXT(VLOOKUP($N106,Gebaeude!$B$18:$G$95,6,FALSE),"0,000"),"")</f>
        <v/>
      </c>
      <c r="D106" s="134" t="str">
        <f ca="1">IF(AND($N106&lt;&gt;0, LEFT($N106,1)="W"),TEXT(VLOOKUP($N106,Gebaeude!$B$131:$F$142,5,FALSE),"0,00"),"")</f>
        <v/>
      </c>
      <c r="E106" s="996" t="str">
        <f t="shared" ca="1" si="16"/>
        <v/>
      </c>
      <c r="F106" s="996" t="str">
        <f t="shared" ca="1" si="17"/>
        <v/>
      </c>
      <c r="G106" s="996" t="str">
        <f t="shared" ca="1" si="18"/>
        <v/>
      </c>
      <c r="H106" s="996" t="str">
        <f t="shared" ca="1" si="19"/>
        <v/>
      </c>
      <c r="L106" s="46"/>
      <c r="N106" s="983">
        <f ca="1"/>
        <v>0</v>
      </c>
      <c r="O106" s="984"/>
      <c r="P106" s="1029">
        <f ca="1">IF($N106&lt;&gt;0,TEXT(VLOOKUP($N106,Gebaeude!$B$18:$G$95,2,FALSE),"0"),0)</f>
        <v>0</v>
      </c>
      <c r="Q106" s="985"/>
      <c r="R106" s="1030">
        <f t="shared" ca="1" si="20"/>
        <v>0</v>
      </c>
      <c r="S106" s="1030" t="str">
        <f t="shared" ca="1" si="21"/>
        <v>N</v>
      </c>
      <c r="T106" s="1030">
        <f t="shared" ca="1" si="22"/>
        <v>0</v>
      </c>
      <c r="U106" s="986"/>
      <c r="V106" s="987"/>
      <c r="W106" s="983"/>
      <c r="X106" s="983"/>
      <c r="Y106" s="983"/>
    </row>
    <row r="107" spans="1:25" s="62" customFormat="1">
      <c r="A107" s="120" t="str">
        <f ca="1">LEFT(IF($N107&lt;&gt;0,$N107&amp;": "&amp;VLOOKUP($N107,Gebaeude!$B$18:$G$95,2,FALSE)&amp;" "&amp;VLOOKUP($N107,Gebaeude!$B$18:$G$95,4,FALSE),""),40)</f>
        <v/>
      </c>
      <c r="B107" s="1014">
        <f ca="1">IF($N107&lt;&gt;0,TEXT(VLOOKUP($N107,Gebaeude!$B$18:$G$95,5,FALSE),"0"),0)</f>
        <v>0</v>
      </c>
      <c r="C107" s="1014" t="str">
        <f ca="1">IF($N107&lt;&gt;0,TEXT(VLOOKUP($N107,Gebaeude!$B$18:$G$95,6,FALSE),"0,000"),"")</f>
        <v/>
      </c>
      <c r="D107" s="134" t="str">
        <f ca="1">IF(AND($N107&lt;&gt;0, LEFT($N107,1)="W"),TEXT(VLOOKUP($N107,Gebaeude!$B$131:$F$142,5,FALSE),"0,00"),"")</f>
        <v/>
      </c>
      <c r="E107" s="996" t="str">
        <f t="shared" ca="1" si="16"/>
        <v/>
      </c>
      <c r="F107" s="996" t="str">
        <f t="shared" ca="1" si="17"/>
        <v/>
      </c>
      <c r="G107" s="996" t="str">
        <f t="shared" ca="1" si="18"/>
        <v/>
      </c>
      <c r="H107" s="996" t="str">
        <f t="shared" ca="1" si="19"/>
        <v/>
      </c>
      <c r="L107" s="1037"/>
      <c r="N107" s="983">
        <f ca="1"/>
        <v>0</v>
      </c>
      <c r="O107" s="984"/>
      <c r="P107" s="1029">
        <f ca="1">IF($N107&lt;&gt;0,TEXT(VLOOKUP($N107,Gebaeude!$B$18:$G$95,2,FALSE),"0"),0)</f>
        <v>0</v>
      </c>
      <c r="Q107" s="985"/>
      <c r="R107" s="1030">
        <f t="shared" ca="1" si="20"/>
        <v>0</v>
      </c>
      <c r="S107" s="1030" t="str">
        <f t="shared" ca="1" si="21"/>
        <v>N</v>
      </c>
      <c r="T107" s="1030">
        <f t="shared" ca="1" si="22"/>
        <v>0</v>
      </c>
      <c r="U107" s="986"/>
      <c r="V107" s="987"/>
      <c r="W107" s="988"/>
      <c r="X107" s="988"/>
      <c r="Y107" s="988"/>
    </row>
    <row r="108" spans="1:25" s="62" customFormat="1">
      <c r="A108" s="120" t="str">
        <f ca="1">LEFT(IF($N108&lt;&gt;0,$N108&amp;": "&amp;VLOOKUP($N108,Gebaeude!$B$18:$G$95,2,FALSE)&amp;" "&amp;VLOOKUP($N108,Gebaeude!$B$18:$G$95,4,FALSE),""),40)</f>
        <v/>
      </c>
      <c r="B108" s="1014">
        <f ca="1">IF($N108&lt;&gt;0,TEXT(VLOOKUP($N108,Gebaeude!$B$18:$G$95,5,FALSE),"0"),0)</f>
        <v>0</v>
      </c>
      <c r="C108" s="1014" t="str">
        <f ca="1">IF($N108&lt;&gt;0,TEXT(VLOOKUP($N108,Gebaeude!$B$18:$G$95,6,FALSE),"0,000"),"")</f>
        <v/>
      </c>
      <c r="D108" s="134" t="str">
        <f ca="1">IF(AND($N108&lt;&gt;0, LEFT($N108,1)="W"),TEXT(VLOOKUP($N108,Gebaeude!$B$131:$F$142,5,FALSE),"0,00"),"")</f>
        <v/>
      </c>
      <c r="E108" s="996" t="str">
        <f t="shared" ca="1" si="16"/>
        <v/>
      </c>
      <c r="F108" s="996" t="str">
        <f t="shared" ca="1" si="17"/>
        <v/>
      </c>
      <c r="G108" s="996" t="str">
        <f t="shared" ca="1" si="18"/>
        <v/>
      </c>
      <c r="H108" s="996" t="str">
        <f t="shared" ca="1" si="19"/>
        <v/>
      </c>
      <c r="L108" s="46"/>
      <c r="N108" s="983">
        <f ca="1"/>
        <v>0</v>
      </c>
      <c r="O108" s="984"/>
      <c r="P108" s="1029">
        <f ca="1">IF($N108&lt;&gt;0,TEXT(VLOOKUP($N108,Gebaeude!$B$18:$G$95,2,FALSE),"0"),0)</f>
        <v>0</v>
      </c>
      <c r="Q108" s="985"/>
      <c r="R108" s="1030">
        <f t="shared" ca="1" si="20"/>
        <v>0</v>
      </c>
      <c r="S108" s="1030" t="str">
        <f t="shared" ca="1" si="21"/>
        <v>N</v>
      </c>
      <c r="T108" s="1030">
        <f t="shared" ca="1" si="22"/>
        <v>0</v>
      </c>
      <c r="U108" s="986"/>
      <c r="V108" s="987"/>
      <c r="W108" s="988"/>
      <c r="X108" s="988"/>
      <c r="Y108" s="988"/>
    </row>
    <row r="109" spans="1:25" s="62" customFormat="1">
      <c r="A109" s="120" t="str">
        <f ca="1">LEFT(IF($N109&lt;&gt;0,$N109&amp;": "&amp;VLOOKUP($N109,Gebaeude!$B$18:$G$95,2,FALSE)&amp;" "&amp;VLOOKUP($N109,Gebaeude!$B$18:$G$95,4,FALSE),""),40)</f>
        <v/>
      </c>
      <c r="B109" s="1014">
        <f ca="1">IF($N109&lt;&gt;0,TEXT(VLOOKUP($N109,Gebaeude!$B$18:$G$95,5,FALSE),"0"),0)</f>
        <v>0</v>
      </c>
      <c r="C109" s="1014" t="str">
        <f ca="1">IF($N109&lt;&gt;0,TEXT(VLOOKUP($N109,Gebaeude!$B$18:$G$95,6,FALSE),"0,000"),"")</f>
        <v/>
      </c>
      <c r="D109" s="134" t="str">
        <f ca="1">IF(AND($N109&lt;&gt;0, LEFT($N109,1)="W"),TEXT(VLOOKUP($N109,Gebaeude!$B$131:$F$142,5,FALSE),"0,00"),"")</f>
        <v/>
      </c>
      <c r="E109" s="996" t="str">
        <f t="shared" ca="1" si="16"/>
        <v/>
      </c>
      <c r="F109" s="996" t="str">
        <f t="shared" ca="1" si="17"/>
        <v/>
      </c>
      <c r="G109" s="996" t="str">
        <f t="shared" ca="1" si="18"/>
        <v/>
      </c>
      <c r="H109" s="996" t="str">
        <f t="shared" ca="1" si="19"/>
        <v/>
      </c>
      <c r="L109" s="46"/>
      <c r="N109" s="983">
        <f ca="1"/>
        <v>0</v>
      </c>
      <c r="O109" s="984"/>
      <c r="P109" s="1029">
        <f ca="1">IF($N109&lt;&gt;0,TEXT(VLOOKUP($N109,Gebaeude!$B$18:$G$95,2,FALSE),"0"),0)</f>
        <v>0</v>
      </c>
      <c r="Q109" s="985"/>
      <c r="R109" s="1030">
        <f t="shared" ca="1" si="20"/>
        <v>0</v>
      </c>
      <c r="S109" s="1030" t="str">
        <f t="shared" ca="1" si="21"/>
        <v>N</v>
      </c>
      <c r="T109" s="1030">
        <f t="shared" ca="1" si="22"/>
        <v>0</v>
      </c>
      <c r="U109" s="986"/>
      <c r="V109" s="987"/>
      <c r="W109" s="988"/>
      <c r="X109" s="988"/>
      <c r="Y109" s="988"/>
    </row>
    <row r="110" spans="1:25" s="62" customFormat="1">
      <c r="A110" s="120" t="str">
        <f ca="1">LEFT(IF($N110&lt;&gt;0,$N110&amp;": "&amp;VLOOKUP($N110,Gebaeude!$B$18:$G$95,2,FALSE)&amp;" "&amp;VLOOKUP($N110,Gebaeude!$B$18:$G$95,4,FALSE),""),40)</f>
        <v/>
      </c>
      <c r="B110" s="1014">
        <f ca="1">IF($N110&lt;&gt;0,TEXT(VLOOKUP($N110,Gebaeude!$B$18:$G$95,5,FALSE),"0"),0)</f>
        <v>0</v>
      </c>
      <c r="C110" s="1014" t="str">
        <f ca="1">IF($N110&lt;&gt;0,TEXT(VLOOKUP($N110,Gebaeude!$B$18:$G$95,6,FALSE),"0,000"),"")</f>
        <v/>
      </c>
      <c r="D110" s="134" t="str">
        <f ca="1">IF(AND($N110&lt;&gt;0, LEFT($N110,1)="W"),TEXT(VLOOKUP($N110,Gebaeude!$B$131:$F$142,5,FALSE),"0,00"),"")</f>
        <v/>
      </c>
      <c r="E110" s="996" t="str">
        <f t="shared" ca="1" si="16"/>
        <v/>
      </c>
      <c r="F110" s="996" t="str">
        <f t="shared" ca="1" si="17"/>
        <v/>
      </c>
      <c r="G110" s="996" t="str">
        <f t="shared" ca="1" si="18"/>
        <v/>
      </c>
      <c r="H110" s="996" t="str">
        <f t="shared" ca="1" si="19"/>
        <v/>
      </c>
      <c r="L110" s="46"/>
      <c r="N110" s="983">
        <f ca="1"/>
        <v>0</v>
      </c>
      <c r="O110" s="984"/>
      <c r="P110" s="1029">
        <f ca="1">IF($N110&lt;&gt;0,TEXT(VLOOKUP($N110,Gebaeude!$B$18:$G$95,2,FALSE),"0"),0)</f>
        <v>0</v>
      </c>
      <c r="Q110" s="985"/>
      <c r="R110" s="1030">
        <f t="shared" ca="1" si="20"/>
        <v>0</v>
      </c>
      <c r="S110" s="1030" t="str">
        <f t="shared" ca="1" si="21"/>
        <v>N</v>
      </c>
      <c r="T110" s="1030">
        <f t="shared" ca="1" si="22"/>
        <v>0</v>
      </c>
      <c r="U110" s="986"/>
      <c r="V110" s="987"/>
      <c r="W110" s="988"/>
      <c r="X110" s="988"/>
      <c r="Y110" s="988"/>
    </row>
    <row r="111" spans="1:25" s="62" customFormat="1">
      <c r="A111" s="120" t="str">
        <f ca="1">LEFT(IF($N111&lt;&gt;0,$N111&amp;": "&amp;VLOOKUP($N111,Gebaeude!$B$18:$G$95,2,FALSE)&amp;" "&amp;VLOOKUP($N111,Gebaeude!$B$18:$G$95,4,FALSE),""),40)</f>
        <v/>
      </c>
      <c r="B111" s="1014">
        <f ca="1">IF($N111&lt;&gt;0,TEXT(VLOOKUP($N111,Gebaeude!$B$18:$G$95,5,FALSE),"0"),0)</f>
        <v>0</v>
      </c>
      <c r="C111" s="1014" t="str">
        <f ca="1">IF($N111&lt;&gt;0,TEXT(VLOOKUP($N111,Gebaeude!$B$18:$G$95,6,FALSE),"0,000"),"")</f>
        <v/>
      </c>
      <c r="D111" s="134" t="str">
        <f ca="1">IF(AND($N111&lt;&gt;0, LEFT($N111,1)="W"),TEXT(VLOOKUP($N111,Gebaeude!$B$131:$F$142,5,FALSE),"0,00"),"")</f>
        <v/>
      </c>
      <c r="E111" s="996" t="str">
        <f t="shared" ca="1" si="16"/>
        <v/>
      </c>
      <c r="F111" s="996" t="str">
        <f t="shared" ca="1" si="17"/>
        <v/>
      </c>
      <c r="G111" s="996" t="str">
        <f t="shared" ca="1" si="18"/>
        <v/>
      </c>
      <c r="H111" s="996" t="str">
        <f t="shared" ca="1" si="19"/>
        <v/>
      </c>
      <c r="L111" s="46"/>
      <c r="N111" s="983">
        <f ca="1"/>
        <v>0</v>
      </c>
      <c r="O111" s="984"/>
      <c r="P111" s="1029">
        <f ca="1">IF($N111&lt;&gt;0,TEXT(VLOOKUP($N111,Gebaeude!$B$18:$G$95,2,FALSE),"0"),0)</f>
        <v>0</v>
      </c>
      <c r="Q111" s="985"/>
      <c r="R111" s="1030">
        <f t="shared" ca="1" si="20"/>
        <v>0</v>
      </c>
      <c r="S111" s="1030" t="str">
        <f t="shared" ca="1" si="21"/>
        <v>N</v>
      </c>
      <c r="T111" s="1030">
        <f t="shared" ca="1" si="22"/>
        <v>0</v>
      </c>
      <c r="U111" s="986"/>
      <c r="V111" s="987"/>
      <c r="W111" s="988"/>
      <c r="X111" s="988"/>
      <c r="Y111" s="988"/>
    </row>
    <row r="112" spans="1:25" s="62" customFormat="1">
      <c r="A112" s="120" t="str">
        <f ca="1">LEFT(IF($N112&lt;&gt;0,$N112&amp;": "&amp;VLOOKUP($N112,Gebaeude!$B$18:$G$95,2,FALSE)&amp;" "&amp;VLOOKUP($N112,Gebaeude!$B$18:$G$95,4,FALSE),""),40)</f>
        <v/>
      </c>
      <c r="B112" s="1014">
        <f ca="1">IF($N112&lt;&gt;0,TEXT(VLOOKUP($N112,Gebaeude!$B$18:$G$95,5,FALSE),"0"),0)</f>
        <v>0</v>
      </c>
      <c r="C112" s="1014" t="str">
        <f ca="1">IF($N112&lt;&gt;0,TEXT(VLOOKUP($N112,Gebaeude!$B$18:$G$95,6,FALSE),"0,000"),"")</f>
        <v/>
      </c>
      <c r="D112" s="134" t="str">
        <f ca="1">IF(AND($N112&lt;&gt;0, LEFT($N112,1)="W"),TEXT(VLOOKUP($N112,Gebaeude!$B$131:$F$142,5,FALSE),"0,00"),"")</f>
        <v/>
      </c>
      <c r="E112" s="996" t="str">
        <f t="shared" ca="1" si="16"/>
        <v/>
      </c>
      <c r="F112" s="996" t="str">
        <f t="shared" ca="1" si="17"/>
        <v/>
      </c>
      <c r="G112" s="996" t="str">
        <f t="shared" ca="1" si="18"/>
        <v/>
      </c>
      <c r="H112" s="996" t="str">
        <f t="shared" ca="1" si="19"/>
        <v/>
      </c>
      <c r="L112" s="46"/>
      <c r="N112" s="983">
        <f ca="1"/>
        <v>0</v>
      </c>
      <c r="O112" s="984"/>
      <c r="P112" s="1029">
        <f ca="1">IF($N112&lt;&gt;0,TEXT(VLOOKUP($N112,Gebaeude!$B$18:$G$95,2,FALSE),"0"),0)</f>
        <v>0</v>
      </c>
      <c r="Q112" s="985"/>
      <c r="R112" s="1030">
        <f t="shared" ca="1" si="20"/>
        <v>0</v>
      </c>
      <c r="S112" s="1030" t="str">
        <f t="shared" ca="1" si="21"/>
        <v>N</v>
      </c>
      <c r="T112" s="1030">
        <f t="shared" ca="1" si="22"/>
        <v>0</v>
      </c>
      <c r="U112" s="986"/>
      <c r="V112" s="987"/>
      <c r="W112" s="988"/>
      <c r="X112" s="988"/>
      <c r="Y112" s="988"/>
    </row>
    <row r="113" spans="1:25" s="62" customFormat="1">
      <c r="A113" s="120" t="str">
        <f ca="1">LEFT(IF($N113&lt;&gt;0,$N113&amp;": "&amp;VLOOKUP($N113,Gebaeude!$B$18:$G$95,2,FALSE)&amp;" "&amp;VLOOKUP($N113,Gebaeude!$B$18:$G$95,4,FALSE),""),40)</f>
        <v/>
      </c>
      <c r="B113" s="1014">
        <f ca="1">IF($N113&lt;&gt;0,TEXT(VLOOKUP($N113,Gebaeude!$B$18:$G$95,5,FALSE),"0"),0)</f>
        <v>0</v>
      </c>
      <c r="C113" s="1014" t="str">
        <f ca="1">IF($N113&lt;&gt;0,TEXT(VLOOKUP($N113,Gebaeude!$B$18:$G$95,6,FALSE),"0,000"),"")</f>
        <v/>
      </c>
      <c r="D113" s="134" t="str">
        <f ca="1">IF(AND($N113&lt;&gt;0, LEFT($N113,1)="W"),TEXT(VLOOKUP($N113,Gebaeude!$B$131:$F$142,5,FALSE),"0,00"),"")</f>
        <v/>
      </c>
      <c r="E113" s="996" t="str">
        <f t="shared" ca="1" si="16"/>
        <v/>
      </c>
      <c r="F113" s="996" t="str">
        <f t="shared" ca="1" si="17"/>
        <v/>
      </c>
      <c r="G113" s="996" t="str">
        <f t="shared" ca="1" si="18"/>
        <v/>
      </c>
      <c r="H113" s="996" t="str">
        <f t="shared" ca="1" si="19"/>
        <v/>
      </c>
      <c r="L113" s="46"/>
      <c r="N113" s="983">
        <f ca="1"/>
        <v>0</v>
      </c>
      <c r="O113" s="984"/>
      <c r="P113" s="1029">
        <f ca="1">IF($N113&lt;&gt;0,TEXT(VLOOKUP($N113,Gebaeude!$B$18:$G$95,2,FALSE),"0"),0)</f>
        <v>0</v>
      </c>
      <c r="Q113" s="985"/>
      <c r="R113" s="1030">
        <f t="shared" ca="1" si="20"/>
        <v>0</v>
      </c>
      <c r="S113" s="1030" t="str">
        <f t="shared" ca="1" si="21"/>
        <v>N</v>
      </c>
      <c r="T113" s="1030">
        <f t="shared" ca="1" si="22"/>
        <v>0</v>
      </c>
      <c r="U113" s="986"/>
      <c r="V113" s="987"/>
      <c r="W113" s="988"/>
      <c r="X113" s="988"/>
      <c r="Y113" s="988"/>
    </row>
    <row r="114" spans="1:25" s="62" customFormat="1" ht="15" thickBot="1">
      <c r="A114" s="120" t="str">
        <f ca="1">LEFT(IF($N114&lt;&gt;0,$N114&amp;": "&amp;VLOOKUP($N114,Gebaeude!$B$18:$G$95,2,FALSE)&amp;" "&amp;VLOOKUP($N114,Gebaeude!$B$18:$G$95,4,FALSE),""),40)</f>
        <v/>
      </c>
      <c r="B114" s="1014">
        <f ca="1">IF($N114&lt;&gt;0,TEXT(VLOOKUP($N114,Gebaeude!$B$18:$G$95,5,FALSE),"0"),0)</f>
        <v>0</v>
      </c>
      <c r="C114" s="1014" t="str">
        <f ca="1">IF($N114&lt;&gt;0,TEXT(VLOOKUP($N114,Gebaeude!$B$18:$G$95,6,FALSE),"0,000"),"")</f>
        <v/>
      </c>
      <c r="D114" s="134" t="str">
        <f ca="1">IF(AND($N114&lt;&gt;0, LEFT($N114,1)="W"),TEXT(VLOOKUP($N114,Gebaeude!$B$131:$F$142,5,FALSE),"0,00"),"")</f>
        <v/>
      </c>
      <c r="E114" s="996" t="str">
        <f t="shared" ca="1" si="16"/>
        <v/>
      </c>
      <c r="F114" s="996" t="str">
        <f t="shared" ca="1" si="17"/>
        <v/>
      </c>
      <c r="G114" s="996" t="str">
        <f t="shared" ca="1" si="18"/>
        <v/>
      </c>
      <c r="H114" s="996" t="str">
        <f t="shared" ca="1" si="19"/>
        <v/>
      </c>
      <c r="L114" s="46"/>
      <c r="N114" s="983">
        <f ca="1"/>
        <v>0</v>
      </c>
      <c r="O114" s="984"/>
      <c r="P114" s="1029">
        <f ca="1">IF($N114&lt;&gt;0,TEXT(VLOOKUP($N114,Gebaeude!$B$18:$G$95,2,FALSE),"0"),0)</f>
        <v>0</v>
      </c>
      <c r="Q114" s="985"/>
      <c r="R114" s="1030">
        <f t="shared" ca="1" si="20"/>
        <v>0</v>
      </c>
      <c r="S114" s="1030" t="str">
        <f t="shared" ca="1" si="21"/>
        <v>N</v>
      </c>
      <c r="T114" s="1030">
        <f t="shared" ca="1" si="22"/>
        <v>0</v>
      </c>
      <c r="U114" s="986"/>
      <c r="V114" s="987"/>
      <c r="W114" s="988"/>
      <c r="X114" s="988"/>
      <c r="Y114" s="988"/>
    </row>
    <row r="115" spans="1:25" s="62" customFormat="1" ht="17.399999999999999" customHeight="1" thickBot="1">
      <c r="A115" s="1042" t="s">
        <v>2640</v>
      </c>
      <c r="B115" s="991"/>
      <c r="C115" s="992"/>
      <c r="D115" s="993" t="str">
        <f>IF(COUNTA(D116:D116)=COUNTIF(D116:D116,"ok"),$W$1,"Fehler im Bereich "&amp;A115)</f>
        <v>Prüfung Format: ok</v>
      </c>
      <c r="E115" s="1023"/>
      <c r="F115" s="1023"/>
      <c r="G115" s="1023"/>
      <c r="H115" s="1023"/>
      <c r="I115" s="1"/>
      <c r="J115" s="122">
        <f>ROW(A116)</f>
        <v>116</v>
      </c>
      <c r="K115" s="122">
        <f>ROW(A116)</f>
        <v>116</v>
      </c>
      <c r="L115" s="46"/>
      <c r="M115" s="122"/>
      <c r="N115" s="983"/>
      <c r="O115" s="984"/>
      <c r="P115" s="1087" t="s">
        <v>3216</v>
      </c>
      <c r="Q115" s="1087"/>
      <c r="R115" s="986"/>
      <c r="S115" s="1092" t="str">
        <f>IF($V115="","",IF(GetValidatation($B115)=FALSE,$V115,""))</f>
        <v/>
      </c>
      <c r="T115" s="1092" t="str">
        <f>IF($V115="","",IF(GetValidatation($B115)=TRUE,$V115,""))</f>
        <v/>
      </c>
      <c r="U115" s="986"/>
      <c r="V115" s="987"/>
      <c r="W115" s="988"/>
      <c r="X115" s="988"/>
      <c r="Y115" s="1021">
        <v>1950</v>
      </c>
    </row>
    <row r="116" spans="1:25" s="62" customFormat="1" ht="15" thickBot="1">
      <c r="A116" s="995" t="s">
        <v>988</v>
      </c>
      <c r="B116" s="1014" t="str">
        <f>TEXT(Gebaeude!I105,"0,000")</f>
        <v>0,014</v>
      </c>
      <c r="C116" s="134"/>
      <c r="D116" s="996" t="str">
        <f>IF(AND(Y116=0,B116=""),"ok",Plausibilitaet(B116,N116))</f>
        <v>ok</v>
      </c>
      <c r="L116" s="46" t="s">
        <v>3062</v>
      </c>
      <c r="N116" s="983" t="s">
        <v>2758</v>
      </c>
      <c r="O116" s="984"/>
      <c r="P116" s="1087"/>
      <c r="Q116" s="1087" t="s">
        <v>935</v>
      </c>
      <c r="R116" s="985"/>
      <c r="S116" s="1092" t="str">
        <f t="shared" ref="S116:S179" si="23">IF($V116="","",IF(GetValidatation($B116)=FALSE,$V116,""))</f>
        <v/>
      </c>
      <c r="T116" s="1092" t="str">
        <f t="shared" ref="T116:T179" si="24">IF($V116="","",IF(GetValidatation($B116)=TRUE,$V116,""))</f>
        <v/>
      </c>
      <c r="U116" s="986"/>
      <c r="V116" s="987"/>
      <c r="W116" s="1082" t="str">
        <f>GetCellName(B116)</f>
        <v>aWaermebrueckenzuschlag</v>
      </c>
      <c r="X116" s="988"/>
      <c r="Y116" s="1015">
        <v>1</v>
      </c>
    </row>
    <row r="117" spans="1:25" s="62" customFormat="1" ht="18" customHeight="1" thickBot="1">
      <c r="A117" s="1042" t="s">
        <v>2641</v>
      </c>
      <c r="B117" s="991"/>
      <c r="C117" s="992"/>
      <c r="D117" s="993" t="str">
        <f ca="1">IF(COUNTA(D118:D122)=COUNTIF(D118:D122,"ok"),$W$1,"Fehler im Bereich "&amp;A117)</f>
        <v>Prüfung Format: ok</v>
      </c>
      <c r="E117" s="992"/>
      <c r="F117" s="992"/>
      <c r="G117" s="992"/>
      <c r="H117" s="992"/>
      <c r="I117" s="1"/>
      <c r="J117" s="122">
        <f>ROW(A118)</f>
        <v>118</v>
      </c>
      <c r="K117" s="122">
        <f>ROW(A122)</f>
        <v>122</v>
      </c>
      <c r="L117" s="46"/>
      <c r="M117" s="122"/>
      <c r="N117" s="988"/>
      <c r="O117" s="984"/>
      <c r="P117" s="1087"/>
      <c r="Q117" s="1087"/>
      <c r="R117" s="985"/>
      <c r="S117" s="1092" t="str">
        <f t="shared" si="23"/>
        <v/>
      </c>
      <c r="T117" s="1092" t="str">
        <f t="shared" si="24"/>
        <v/>
      </c>
      <c r="U117" s="985"/>
      <c r="V117" s="987"/>
      <c r="W117" s="988"/>
      <c r="X117" s="988"/>
      <c r="Y117" s="1021">
        <v>1965</v>
      </c>
    </row>
    <row r="118" spans="1:25" s="62" customFormat="1" ht="15" thickBot="1">
      <c r="A118" s="995" t="s">
        <v>1067</v>
      </c>
      <c r="B118" s="1014" t="str">
        <f ca="1">TEXT(Gebaeude!I110,"0")</f>
        <v>9799</v>
      </c>
      <c r="D118" s="996" t="str">
        <f ca="1">IF(AND(Y118=0,B118=""),"ok",Plausibilitaet(B118,N118))</f>
        <v>ok</v>
      </c>
      <c r="L118" s="46" t="s">
        <v>3063</v>
      </c>
      <c r="N118" s="983" t="s">
        <v>2763</v>
      </c>
      <c r="O118" s="984"/>
      <c r="P118" s="1087"/>
      <c r="Q118" s="1087" t="s">
        <v>936</v>
      </c>
      <c r="R118" s="986"/>
      <c r="S118" s="1092" t="str">
        <f t="shared" si="23"/>
        <v/>
      </c>
      <c r="T118" s="1092" t="str">
        <f t="shared" si="24"/>
        <v/>
      </c>
      <c r="U118" s="986"/>
      <c r="V118" s="987"/>
      <c r="W118" s="1082" t="str">
        <f>GetCellName(B118)</f>
        <v>aTransmissionswaermeverlust</v>
      </c>
      <c r="X118" s="988"/>
      <c r="Y118" s="1015">
        <v>1</v>
      </c>
    </row>
    <row r="119" spans="1:25" s="62" customFormat="1" ht="15" thickBot="1">
      <c r="A119" s="995" t="s">
        <v>937</v>
      </c>
      <c r="B119" s="1107" t="s">
        <v>938</v>
      </c>
      <c r="D119" s="996" t="str">
        <f>IF(AND(Y119=0,B119=""),"ok",IF(ISERROR(MATCH(B119,$G$258:$G$260,0)),"Angabe fehlt","ok"))</f>
        <v>ok</v>
      </c>
      <c r="L119" s="46" t="s">
        <v>3126</v>
      </c>
      <c r="N119" s="1007" t="s">
        <v>1010</v>
      </c>
      <c r="O119" s="984"/>
      <c r="P119" s="1087"/>
      <c r="Q119" s="1087" t="s">
        <v>937</v>
      </c>
      <c r="R119" s="986"/>
      <c r="S119" s="1092" t="str">
        <f t="shared" si="23"/>
        <v/>
      </c>
      <c r="T119" s="1092" t="str">
        <f t="shared" si="24"/>
        <v>aLuftdichtheit</v>
      </c>
      <c r="U119" s="986"/>
      <c r="V119" s="1082" t="str">
        <f t="shared" ref="V119" si="25">GetCellName(B119)</f>
        <v>aLuftdichtheit</v>
      </c>
      <c r="W119" s="988"/>
      <c r="X119" s="988"/>
      <c r="Y119" s="1015">
        <v>1</v>
      </c>
    </row>
    <row r="120" spans="1:25" s="62" customFormat="1">
      <c r="A120" s="995" t="s">
        <v>1071</v>
      </c>
      <c r="B120" s="1014" t="str">
        <f ca="1">TEXT(Gebaeude!I125,"0")</f>
        <v>8577</v>
      </c>
      <c r="D120" s="996" t="str">
        <f ca="1">IF(AND(Y120=0,B120=""),"ok",Plausibilitaet(B120,N120))</f>
        <v>ok</v>
      </c>
      <c r="L120" s="46" t="s">
        <v>3064</v>
      </c>
      <c r="N120" s="983" t="s">
        <v>2763</v>
      </c>
      <c r="O120" s="984"/>
      <c r="P120" s="1087"/>
      <c r="Q120" s="1087" t="s">
        <v>939</v>
      </c>
      <c r="R120" s="986"/>
      <c r="S120" s="1092" t="str">
        <f t="shared" si="23"/>
        <v/>
      </c>
      <c r="T120" s="1092" t="str">
        <f t="shared" si="24"/>
        <v/>
      </c>
      <c r="U120" s="986"/>
      <c r="V120" s="987"/>
      <c r="W120" s="1082" t="str">
        <f t="shared" ref="W120:W122" si="26">GetCellName(B120)</f>
        <v>aLueftungswaermeverlust</v>
      </c>
      <c r="X120" s="988"/>
      <c r="Y120" s="1015">
        <v>1</v>
      </c>
    </row>
    <row r="121" spans="1:25" s="62" customFormat="1">
      <c r="A121" s="995" t="s">
        <v>3070</v>
      </c>
      <c r="B121" s="1014" t="str">
        <f ca="1">TEXT(Gebaeude!I144+Gebaeude!I172,"0")</f>
        <v>7181</v>
      </c>
      <c r="D121" s="996" t="str">
        <f ca="1">IF(AND(Y121=0,B121=""),"ok",Plausibilitaet(B121,N121))</f>
        <v>ok</v>
      </c>
      <c r="L121" s="46" t="s">
        <v>3065</v>
      </c>
      <c r="N121" s="983" t="s">
        <v>2763</v>
      </c>
      <c r="O121" s="984"/>
      <c r="P121" s="1087"/>
      <c r="Q121" s="1087" t="s">
        <v>3167</v>
      </c>
      <c r="R121" s="986"/>
      <c r="S121" s="1092" t="str">
        <f t="shared" si="23"/>
        <v/>
      </c>
      <c r="T121" s="1092" t="str">
        <f t="shared" si="24"/>
        <v/>
      </c>
      <c r="U121" s="986"/>
      <c r="V121" s="987"/>
      <c r="W121" s="1082" t="str">
        <f t="shared" si="26"/>
        <v>asolareWaermegewinne</v>
      </c>
      <c r="X121" s="988"/>
      <c r="Y121" s="1015">
        <v>1</v>
      </c>
    </row>
    <row r="122" spans="1:25" s="62" customFormat="1" ht="15" thickBot="1">
      <c r="A122" s="995" t="s">
        <v>3071</v>
      </c>
      <c r="B122" s="1014" t="str">
        <f ca="1">TEXT(Gebaeude!I176,"0")</f>
        <v>9362</v>
      </c>
      <c r="D122" s="996" t="str">
        <f ca="1">IF(AND(Y122=0,B122=""),"ok",Plausibilitaet(B122,N122))</f>
        <v>ok</v>
      </c>
      <c r="L122" s="46" t="s">
        <v>3066</v>
      </c>
      <c r="N122" s="983" t="s">
        <v>2763</v>
      </c>
      <c r="O122" s="984"/>
      <c r="P122" s="1087"/>
      <c r="Q122" s="1087" t="s">
        <v>3168</v>
      </c>
      <c r="R122" s="986"/>
      <c r="S122" s="1092" t="str">
        <f t="shared" si="23"/>
        <v/>
      </c>
      <c r="T122" s="1092" t="str">
        <f t="shared" si="24"/>
        <v/>
      </c>
      <c r="U122" s="986"/>
      <c r="V122" s="987"/>
      <c r="W122" s="1082" t="str">
        <f t="shared" si="26"/>
        <v>ainterneWaermegewinne</v>
      </c>
      <c r="X122" s="988"/>
      <c r="Y122" s="1015">
        <v>1</v>
      </c>
    </row>
    <row r="123" spans="1:25" s="62" customFormat="1" ht="18" customHeight="1" thickBot="1">
      <c r="A123" s="1042" t="s">
        <v>2642</v>
      </c>
      <c r="B123" s="991"/>
      <c r="C123" s="992"/>
      <c r="D123" s="993" t="str">
        <f>IF(COUNTA(D124:D142)=COUNTIF(D124:D142,"ok"),$W$1,"Fehler im Bereich "&amp;A123)</f>
        <v>Prüfung Format: ok</v>
      </c>
      <c r="E123" s="992"/>
      <c r="F123" s="992"/>
      <c r="G123" s="992"/>
      <c r="H123" s="992"/>
      <c r="I123" s="1"/>
      <c r="J123" s="122">
        <f>ROW(A124)</f>
        <v>124</v>
      </c>
      <c r="K123" s="122">
        <f>ROW(A142)</f>
        <v>142</v>
      </c>
      <c r="L123" s="46" t="s">
        <v>1031</v>
      </c>
      <c r="M123" s="122"/>
      <c r="N123" s="988"/>
      <c r="O123" s="984"/>
      <c r="P123" s="1087"/>
      <c r="Q123" s="1087"/>
      <c r="R123" s="985"/>
      <c r="S123" s="1092" t="str">
        <f t="shared" si="23"/>
        <v/>
      </c>
      <c r="T123" s="1092" t="str">
        <f t="shared" si="24"/>
        <v/>
      </c>
      <c r="U123" s="985"/>
      <c r="V123" s="987"/>
      <c r="W123" s="988"/>
      <c r="X123" s="988"/>
      <c r="Y123" s="1021">
        <v>2546</v>
      </c>
    </row>
    <row r="124" spans="1:25" s="62" customFormat="1" ht="15" thickBot="1">
      <c r="A124" s="1043" t="s">
        <v>1049</v>
      </c>
      <c r="B124" s="141"/>
      <c r="D124" s="18"/>
      <c r="E124" s="18"/>
      <c r="F124" s="18"/>
      <c r="G124" s="18"/>
      <c r="H124" s="18"/>
      <c r="I124" s="1"/>
      <c r="J124" s="122"/>
      <c r="K124" s="122"/>
      <c r="L124" s="46"/>
      <c r="M124" s="122"/>
      <c r="N124" s="1008"/>
      <c r="O124" s="984"/>
      <c r="P124" s="1087" t="s">
        <v>2252</v>
      </c>
      <c r="Q124" s="1087"/>
      <c r="R124" s="985"/>
      <c r="S124" s="1092" t="str">
        <f t="shared" si="23"/>
        <v/>
      </c>
      <c r="T124" s="1092" t="str">
        <f t="shared" si="24"/>
        <v/>
      </c>
      <c r="U124" s="985"/>
      <c r="V124" s="987"/>
      <c r="W124" s="988"/>
      <c r="X124" s="988"/>
      <c r="Y124" s="1015"/>
    </row>
    <row r="125" spans="1:25" s="62" customFormat="1" ht="15" thickBot="1">
      <c r="A125" s="1057" t="s">
        <v>1050</v>
      </c>
      <c r="B125" s="1378" t="s">
        <v>2704</v>
      </c>
      <c r="C125" s="1378"/>
      <c r="D125" s="1101" t="str">
        <f>IF(ISERROR(MATCH(B125,$B$262:$B$292,0)),"Angabe fehlt","ok")</f>
        <v>ok</v>
      </c>
      <c r="L125" s="46" t="s">
        <v>1054</v>
      </c>
      <c r="N125" s="1007" t="s">
        <v>1010</v>
      </c>
      <c r="O125" s="984"/>
      <c r="P125" s="1087"/>
      <c r="Q125" s="1087" t="s">
        <v>2471</v>
      </c>
      <c r="R125" s="986"/>
      <c r="S125" s="1092" t="str">
        <f t="shared" si="23"/>
        <v/>
      </c>
      <c r="T125" s="1092" t="str">
        <f t="shared" si="24"/>
        <v>aWaermeerzeugerBauweise1</v>
      </c>
      <c r="U125" s="986"/>
      <c r="V125" s="1082" t="str">
        <f t="shared" ref="V125:V131" si="27">GetCellName(B125)</f>
        <v>aWaermeerzeugerBauweise1</v>
      </c>
      <c r="W125" s="988"/>
      <c r="X125" s="988"/>
      <c r="Y125" s="1015">
        <v>1</v>
      </c>
    </row>
    <row r="126" spans="1:25" s="62" customFormat="1" ht="15" thickBot="1">
      <c r="A126" s="1057" t="s">
        <v>1073</v>
      </c>
      <c r="B126" s="1011">
        <v>0</v>
      </c>
      <c r="C126" s="1095"/>
      <c r="D126" s="1101" t="str">
        <f>Plausibilitaet(B126,N126)</f>
        <v>ok</v>
      </c>
      <c r="L126" s="46" t="s">
        <v>1055</v>
      </c>
      <c r="N126" s="1002" t="s">
        <v>2763</v>
      </c>
      <c r="O126" s="984"/>
      <c r="P126" s="1087"/>
      <c r="Q126" s="1087" t="s">
        <v>2472</v>
      </c>
      <c r="R126" s="986"/>
      <c r="S126" s="1092" t="str">
        <f t="shared" si="23"/>
        <v>aNennleistung1</v>
      </c>
      <c r="T126" s="1092" t="str">
        <f t="shared" si="24"/>
        <v/>
      </c>
      <c r="U126" s="986"/>
      <c r="V126" s="1082" t="str">
        <f t="shared" si="27"/>
        <v>aNennleistung1</v>
      </c>
      <c r="W126" s="988"/>
      <c r="X126" s="988"/>
      <c r="Y126" s="1015">
        <v>1</v>
      </c>
    </row>
    <row r="127" spans="1:25" s="62" customFormat="1" ht="15" thickBot="1">
      <c r="A127" s="1057" t="s">
        <v>1051</v>
      </c>
      <c r="B127" s="1011">
        <v>2015</v>
      </c>
      <c r="C127" s="1095"/>
      <c r="D127" s="1101" t="str">
        <f>Plausibilitaet(B127,N127)</f>
        <v>ok</v>
      </c>
      <c r="L127" s="46" t="s">
        <v>1056</v>
      </c>
      <c r="N127" s="1002" t="s">
        <v>2764</v>
      </c>
      <c r="O127" s="984"/>
      <c r="P127" s="1087"/>
      <c r="Q127" s="1087" t="s">
        <v>2473</v>
      </c>
      <c r="R127" s="986"/>
      <c r="S127" s="1092" t="str">
        <f t="shared" si="23"/>
        <v>aWaermeerzeugerBaujahr1</v>
      </c>
      <c r="T127" s="1092" t="str">
        <f t="shared" si="24"/>
        <v/>
      </c>
      <c r="U127" s="986"/>
      <c r="V127" s="1082" t="str">
        <f t="shared" si="27"/>
        <v>aWaermeerzeugerBaujahr1</v>
      </c>
      <c r="W127" s="988"/>
      <c r="X127" s="988"/>
      <c r="Y127" s="1015">
        <v>1</v>
      </c>
    </row>
    <row r="128" spans="1:25" s="62" customFormat="1" ht="15" thickBot="1">
      <c r="A128" s="1057" t="s">
        <v>1048</v>
      </c>
      <c r="B128" s="1011">
        <v>1</v>
      </c>
      <c r="C128" s="1095"/>
      <c r="D128" s="1101" t="str">
        <f>Plausibilitaet(B128,N128)</f>
        <v>ok</v>
      </c>
      <c r="L128" s="46" t="s">
        <v>1057</v>
      </c>
      <c r="N128" s="983" t="s">
        <v>2766</v>
      </c>
      <c r="O128" s="984"/>
      <c r="P128" s="1087"/>
      <c r="Q128" s="1087" t="s">
        <v>2474</v>
      </c>
      <c r="R128" s="986"/>
      <c r="S128" s="1092" t="str">
        <f t="shared" si="23"/>
        <v>aAnzahlbaugleiche1</v>
      </c>
      <c r="T128" s="1092" t="str">
        <f t="shared" si="24"/>
        <v/>
      </c>
      <c r="U128" s="986"/>
      <c r="V128" s="1082" t="str">
        <f t="shared" si="27"/>
        <v>aAnzahlbaugleiche1</v>
      </c>
      <c r="W128" s="988"/>
      <c r="X128" s="988"/>
      <c r="Y128" s="1015">
        <v>1</v>
      </c>
    </row>
    <row r="129" spans="1:25" s="62" customFormat="1" ht="15" thickBot="1">
      <c r="A129" s="1057" t="s">
        <v>1052</v>
      </c>
      <c r="B129" s="1378" t="s">
        <v>3165</v>
      </c>
      <c r="C129" s="1378"/>
      <c r="D129" s="1101" t="str">
        <f>IF(ISERROR(MATCH(B129,$G$262:$G$287,0)),"Angabe fehlt","ok")</f>
        <v>ok</v>
      </c>
      <c r="L129" s="46" t="s">
        <v>1058</v>
      </c>
      <c r="N129" s="1007" t="s">
        <v>1010</v>
      </c>
      <c r="O129" s="984"/>
      <c r="P129" s="1087"/>
      <c r="Q129" s="1087" t="s">
        <v>2475</v>
      </c>
      <c r="R129" s="986"/>
      <c r="S129" s="1092" t="str">
        <f t="shared" si="23"/>
        <v/>
      </c>
      <c r="T129" s="1092" t="str">
        <f t="shared" si="24"/>
        <v>aEnergietraeger1</v>
      </c>
      <c r="U129" s="986"/>
      <c r="V129" s="1082" t="str">
        <f t="shared" si="27"/>
        <v>aEnergietraeger1</v>
      </c>
      <c r="W129" s="988"/>
      <c r="X129" s="988"/>
      <c r="Y129" s="1015">
        <v>1</v>
      </c>
    </row>
    <row r="130" spans="1:25" s="62" customFormat="1" ht="15" thickBot="1">
      <c r="A130" s="1057" t="s">
        <v>1074</v>
      </c>
      <c r="B130" s="1044">
        <v>1.8</v>
      </c>
      <c r="C130" s="1095"/>
      <c r="D130" s="1101" t="str">
        <f>Plausibilitaet(B130,N130)</f>
        <v>ok</v>
      </c>
      <c r="L130" s="46" t="s">
        <v>3213</v>
      </c>
      <c r="N130" s="983" t="s">
        <v>2767</v>
      </c>
      <c r="O130" s="984"/>
      <c r="P130" s="1087"/>
      <c r="Q130" s="1087" t="s">
        <v>2476</v>
      </c>
      <c r="R130" s="986"/>
      <c r="S130" s="1092" t="str">
        <f t="shared" si="23"/>
        <v>aPrimaerenergiefaktor1</v>
      </c>
      <c r="T130" s="1092" t="str">
        <f t="shared" si="24"/>
        <v/>
      </c>
      <c r="U130" s="986"/>
      <c r="V130" s="1082" t="str">
        <f t="shared" si="27"/>
        <v>aPrimaerenergiefaktor1</v>
      </c>
      <c r="W130" s="988"/>
      <c r="X130" s="988"/>
      <c r="Y130" s="1015">
        <v>1</v>
      </c>
    </row>
    <row r="131" spans="1:25" s="62" customFormat="1" ht="15" thickBot="1">
      <c r="A131" s="1057" t="s">
        <v>3127</v>
      </c>
      <c r="B131" s="1044">
        <v>13</v>
      </c>
      <c r="C131" s="1095"/>
      <c r="D131" s="1101" t="str">
        <f>Plausibilitaet(B131,N131)</f>
        <v>ok</v>
      </c>
      <c r="E131" s="608"/>
      <c r="H131" s="1080" t="s">
        <v>3059</v>
      </c>
      <c r="L131" s="46" t="s">
        <v>3128</v>
      </c>
      <c r="N131" s="983" t="s">
        <v>2763</v>
      </c>
      <c r="O131" s="984"/>
      <c r="P131" s="1087"/>
      <c r="Q131" s="1087" t="s">
        <v>3219</v>
      </c>
      <c r="R131" s="986"/>
      <c r="S131" s="1092" t="str">
        <f t="shared" si="23"/>
        <v>aEmissionsfaktor1</v>
      </c>
      <c r="T131" s="1092" t="str">
        <f t="shared" si="24"/>
        <v/>
      </c>
      <c r="U131" s="986"/>
      <c r="V131" s="1082" t="str">
        <f t="shared" si="27"/>
        <v>aEmissionsfaktor1</v>
      </c>
      <c r="W131" s="988"/>
      <c r="X131" s="988"/>
      <c r="Y131" s="1015">
        <v>1</v>
      </c>
    </row>
    <row r="132" spans="1:25" s="62" customFormat="1" ht="15" thickBot="1">
      <c r="A132" s="1043" t="s">
        <v>1053</v>
      </c>
      <c r="B132" s="1096"/>
      <c r="C132" s="1095"/>
      <c r="D132" s="1102"/>
      <c r="H132" s="1079"/>
      <c r="L132" s="46"/>
      <c r="N132" s="1008"/>
      <c r="O132" s="984"/>
      <c r="P132" s="1087" t="s">
        <v>940</v>
      </c>
      <c r="Q132" s="1087"/>
      <c r="R132" s="986"/>
      <c r="S132" s="1092" t="str">
        <f t="shared" si="23"/>
        <v/>
      </c>
      <c r="T132" s="1092" t="str">
        <f t="shared" si="24"/>
        <v/>
      </c>
      <c r="U132" s="986"/>
      <c r="V132" s="987"/>
      <c r="W132" s="988"/>
      <c r="X132" s="988"/>
      <c r="Y132" s="988"/>
    </row>
    <row r="133" spans="1:25" s="62" customFormat="1" ht="15" thickBot="1">
      <c r="A133" s="1057" t="s">
        <v>1050</v>
      </c>
      <c r="B133" s="1378" t="s">
        <v>941</v>
      </c>
      <c r="C133" s="1378"/>
      <c r="D133" s="1101" t="str">
        <f>IF(ISERROR(MATCH(B133,$B$262:$B$292,0)),"Angabe fehlt","ok")</f>
        <v>ok</v>
      </c>
      <c r="H133" s="1079"/>
      <c r="L133" s="46" t="s">
        <v>1054</v>
      </c>
      <c r="N133" s="1007" t="s">
        <v>1010</v>
      </c>
      <c r="O133" s="984"/>
      <c r="P133" s="1087"/>
      <c r="Q133" s="1087" t="s">
        <v>2477</v>
      </c>
      <c r="R133" s="986"/>
      <c r="S133" s="1092" t="str">
        <f t="shared" si="23"/>
        <v/>
      </c>
      <c r="T133" s="1092" t="str">
        <f t="shared" si="24"/>
        <v>aWaermeerzeugerBauweise2</v>
      </c>
      <c r="U133" s="986"/>
      <c r="V133" s="1082" t="str">
        <f t="shared" ref="V133:V142" si="28">GetCellName(B133)</f>
        <v>aWaermeerzeugerBauweise2</v>
      </c>
      <c r="W133" s="988"/>
      <c r="X133" s="988"/>
      <c r="Y133" s="1015">
        <v>1</v>
      </c>
    </row>
    <row r="134" spans="1:25" s="62" customFormat="1" ht="15" thickBot="1">
      <c r="A134" s="1057" t="s">
        <v>1073</v>
      </c>
      <c r="B134" s="1011">
        <v>0</v>
      </c>
      <c r="C134" s="1095"/>
      <c r="D134" s="1101" t="str">
        <f>Plausibilitaet(B134,N134)</f>
        <v>ok</v>
      </c>
      <c r="H134" s="1079"/>
      <c r="L134" s="46" t="s">
        <v>1055</v>
      </c>
      <c r="N134" s="1002" t="s">
        <v>2763</v>
      </c>
      <c r="O134" s="984"/>
      <c r="P134" s="1087"/>
      <c r="Q134" s="1087" t="s">
        <v>2478</v>
      </c>
      <c r="R134" s="986"/>
      <c r="S134" s="1092" t="str">
        <f t="shared" si="23"/>
        <v>aNennleistung2</v>
      </c>
      <c r="T134" s="1092" t="str">
        <f t="shared" si="24"/>
        <v/>
      </c>
      <c r="U134" s="986"/>
      <c r="V134" s="1082" t="str">
        <f t="shared" si="28"/>
        <v>aNennleistung2</v>
      </c>
      <c r="W134" s="988"/>
      <c r="X134" s="988"/>
      <c r="Y134" s="1015">
        <v>1</v>
      </c>
    </row>
    <row r="135" spans="1:25" s="62" customFormat="1" ht="15" thickBot="1">
      <c r="A135" s="1057" t="s">
        <v>1051</v>
      </c>
      <c r="B135" s="1011">
        <v>2015</v>
      </c>
      <c r="C135" s="1095"/>
      <c r="D135" s="1101" t="str">
        <f>Plausibilitaet(B135,N135)</f>
        <v>ok</v>
      </c>
      <c r="H135" s="1079"/>
      <c r="L135" s="46" t="s">
        <v>1056</v>
      </c>
      <c r="N135" s="1002" t="s">
        <v>2764</v>
      </c>
      <c r="O135" s="984"/>
      <c r="P135" s="1087"/>
      <c r="Q135" s="1087" t="s">
        <v>2479</v>
      </c>
      <c r="R135" s="986"/>
      <c r="S135" s="1092" t="str">
        <f t="shared" si="23"/>
        <v>aWaermeerzeugerBaujahr2</v>
      </c>
      <c r="T135" s="1092" t="str">
        <f t="shared" si="24"/>
        <v/>
      </c>
      <c r="U135" s="986"/>
      <c r="V135" s="1082" t="str">
        <f t="shared" si="28"/>
        <v>aWaermeerzeugerBaujahr2</v>
      </c>
      <c r="W135" s="988"/>
      <c r="X135" s="988"/>
      <c r="Y135" s="1015">
        <v>1</v>
      </c>
    </row>
    <row r="136" spans="1:25" s="62" customFormat="1" ht="15" thickBot="1">
      <c r="A136" s="1057" t="s">
        <v>1048</v>
      </c>
      <c r="B136" s="1011">
        <v>1</v>
      </c>
      <c r="C136" s="1095"/>
      <c r="D136" s="1101" t="str">
        <f>Plausibilitaet(B136,N136)</f>
        <v>ok</v>
      </c>
      <c r="H136" s="1079"/>
      <c r="L136" s="46" t="s">
        <v>1057</v>
      </c>
      <c r="N136" s="983" t="s">
        <v>2766</v>
      </c>
      <c r="O136" s="984"/>
      <c r="P136" s="1087"/>
      <c r="Q136" s="1087" t="s">
        <v>2480</v>
      </c>
      <c r="R136" s="986"/>
      <c r="S136" s="1092" t="str">
        <f t="shared" si="23"/>
        <v>aAnzahlbaugleiche2</v>
      </c>
      <c r="T136" s="1092" t="str">
        <f t="shared" si="24"/>
        <v/>
      </c>
      <c r="U136" s="986"/>
      <c r="V136" s="1082" t="str">
        <f t="shared" si="28"/>
        <v>aAnzahlbaugleiche2</v>
      </c>
      <c r="W136" s="988"/>
      <c r="X136" s="988"/>
      <c r="Y136" s="1015">
        <v>1</v>
      </c>
    </row>
    <row r="137" spans="1:25" s="62" customFormat="1" ht="15" thickBot="1">
      <c r="A137" s="1057" t="s">
        <v>1052</v>
      </c>
      <c r="B137" s="1378" t="s">
        <v>3165</v>
      </c>
      <c r="C137" s="1378"/>
      <c r="D137" s="1101" t="str">
        <f>IF(ISERROR(MATCH(B137,$G$262:$G$287,0)),"Angabe fehlt","ok")</f>
        <v>ok</v>
      </c>
      <c r="H137" s="1079"/>
      <c r="L137" s="46" t="s">
        <v>1058</v>
      </c>
      <c r="N137" s="1007" t="s">
        <v>1010</v>
      </c>
      <c r="O137" s="984"/>
      <c r="P137" s="1087"/>
      <c r="Q137" s="1087" t="s">
        <v>2481</v>
      </c>
      <c r="R137" s="986"/>
      <c r="S137" s="1092" t="str">
        <f t="shared" si="23"/>
        <v/>
      </c>
      <c r="T137" s="1092" t="str">
        <f t="shared" si="24"/>
        <v>aEnergietraeger2</v>
      </c>
      <c r="U137" s="986"/>
      <c r="V137" s="1082" t="str">
        <f t="shared" si="28"/>
        <v>aEnergietraeger2</v>
      </c>
      <c r="W137" s="988"/>
      <c r="X137" s="988"/>
      <c r="Y137" s="1015">
        <v>1</v>
      </c>
    </row>
    <row r="138" spans="1:25" s="62" customFormat="1" ht="15" thickBot="1">
      <c r="A138" s="1057" t="s">
        <v>1074</v>
      </c>
      <c r="B138" s="1010" t="s">
        <v>2770</v>
      </c>
      <c r="C138" s="1095"/>
      <c r="D138" s="1101" t="str">
        <f>Plausibilitaet(B138,N138)</f>
        <v>ok</v>
      </c>
      <c r="H138" s="1079"/>
      <c r="L138" s="46" t="s">
        <v>3213</v>
      </c>
      <c r="N138" s="983" t="s">
        <v>2767</v>
      </c>
      <c r="O138" s="984"/>
      <c r="P138" s="1087"/>
      <c r="Q138" s="1087" t="s">
        <v>2482</v>
      </c>
      <c r="R138" s="986"/>
      <c r="S138" s="1092" t="str">
        <f t="shared" si="23"/>
        <v>aPrimaerenergiefaktor2</v>
      </c>
      <c r="T138" s="1092" t="str">
        <f t="shared" si="24"/>
        <v/>
      </c>
      <c r="U138" s="986"/>
      <c r="V138" s="1082" t="str">
        <f t="shared" si="28"/>
        <v>aPrimaerenergiefaktor2</v>
      </c>
      <c r="W138" s="988"/>
      <c r="X138" s="988"/>
      <c r="Y138" s="1015">
        <v>1</v>
      </c>
    </row>
    <row r="139" spans="1:25" s="62" customFormat="1" ht="15" thickBot="1">
      <c r="A139" s="1057" t="s">
        <v>3127</v>
      </c>
      <c r="B139" s="1044">
        <v>0</v>
      </c>
      <c r="C139" s="1095"/>
      <c r="D139" s="1101" t="str">
        <f>Plausibilitaet(B139,N139)</f>
        <v>ok</v>
      </c>
      <c r="E139" s="608"/>
      <c r="H139" s="1080" t="s">
        <v>3059</v>
      </c>
      <c r="L139" s="46" t="s">
        <v>3128</v>
      </c>
      <c r="N139" s="983" t="s">
        <v>2763</v>
      </c>
      <c r="O139" s="984"/>
      <c r="P139" s="1087"/>
      <c r="Q139" s="1087" t="s">
        <v>3218</v>
      </c>
      <c r="R139" s="986"/>
      <c r="S139" s="1092" t="str">
        <f t="shared" si="23"/>
        <v>aEmissionsfaktor2</v>
      </c>
      <c r="T139" s="1092" t="str">
        <f t="shared" si="24"/>
        <v/>
      </c>
      <c r="U139" s="986"/>
      <c r="V139" s="1082" t="str">
        <f t="shared" si="28"/>
        <v>aEmissionsfaktor2</v>
      </c>
      <c r="W139" s="988"/>
      <c r="X139" s="988"/>
      <c r="Y139" s="1015">
        <v>1</v>
      </c>
    </row>
    <row r="140" spans="1:25" s="62" customFormat="1" ht="15" thickBot="1">
      <c r="A140" s="995" t="s">
        <v>3072</v>
      </c>
      <c r="B140" s="1011">
        <v>800</v>
      </c>
      <c r="C140" s="1095"/>
      <c r="D140" s="1101" t="str">
        <f>IF(AND(Y140=0,B140=""),"ok",Plausibilitaet(B140,N140))</f>
        <v>ok</v>
      </c>
      <c r="H140" s="1079"/>
      <c r="L140" s="46" t="s">
        <v>3080</v>
      </c>
      <c r="N140" s="1002" t="s">
        <v>2763</v>
      </c>
      <c r="O140" s="984"/>
      <c r="P140" s="1087"/>
      <c r="Q140" s="1087" t="s">
        <v>3169</v>
      </c>
      <c r="R140" s="986"/>
      <c r="S140" s="1092" t="str">
        <f t="shared" si="23"/>
        <v>aPufferspeicherNenninhalt</v>
      </c>
      <c r="T140" s="1092" t="str">
        <f t="shared" si="24"/>
        <v/>
      </c>
      <c r="U140" s="986"/>
      <c r="V140" s="1082" t="str">
        <f t="shared" si="28"/>
        <v>aPufferspeicherNenninhalt</v>
      </c>
      <c r="W140" s="988"/>
      <c r="X140" s="1021">
        <v>2024</v>
      </c>
      <c r="Y140" s="1015">
        <v>1</v>
      </c>
    </row>
    <row r="141" spans="1:25" s="62" customFormat="1" ht="15" thickBot="1">
      <c r="A141" s="995" t="s">
        <v>3073</v>
      </c>
      <c r="B141" s="1107" t="s">
        <v>2162</v>
      </c>
      <c r="C141" s="1095"/>
      <c r="D141" s="1101" t="str">
        <f>IF(ISERROR(MATCH(B141,$B$294:$B$299,0)),"Angabe fehlt","ok")</f>
        <v>ok</v>
      </c>
      <c r="L141" s="46" t="s">
        <v>1032</v>
      </c>
      <c r="N141" s="1007" t="s">
        <v>1010</v>
      </c>
      <c r="O141" s="984"/>
      <c r="P141" s="1087"/>
      <c r="Q141" s="1087" t="s">
        <v>3073</v>
      </c>
      <c r="R141" s="986"/>
      <c r="S141" s="1092" t="str">
        <f t="shared" si="23"/>
        <v/>
      </c>
      <c r="T141" s="1092" t="str">
        <f t="shared" si="24"/>
        <v>aHeizkreisauslegungstemperatur</v>
      </c>
      <c r="U141" s="986"/>
      <c r="V141" s="1082" t="str">
        <f t="shared" si="28"/>
        <v>aHeizkreisauslegungstemperatur</v>
      </c>
      <c r="W141" s="988"/>
      <c r="X141" s="988"/>
      <c r="Y141" s="1015">
        <v>1</v>
      </c>
    </row>
    <row r="142" spans="1:25" s="62" customFormat="1" ht="15" thickBot="1">
      <c r="A142" s="995" t="s">
        <v>3074</v>
      </c>
      <c r="B142" s="1107" t="s">
        <v>811</v>
      </c>
      <c r="C142" s="1095"/>
      <c r="D142" s="1103" t="str">
        <f>IF(AND(Y142=0,B142=""),"ok",Plausibilitaet(B142,N142))</f>
        <v>ok</v>
      </c>
      <c r="L142" s="46" t="s">
        <v>1033</v>
      </c>
      <c r="N142" s="1007" t="s">
        <v>1028</v>
      </c>
      <c r="O142" s="984"/>
      <c r="P142" s="1087"/>
      <c r="Q142" s="1087" t="s">
        <v>3170</v>
      </c>
      <c r="R142" s="986"/>
      <c r="S142" s="1092" t="str">
        <f t="shared" si="23"/>
        <v/>
      </c>
      <c r="T142" s="1092" t="str">
        <f t="shared" si="24"/>
        <v>aHeizungsanlageinnerhalbHuelle</v>
      </c>
      <c r="U142" s="986"/>
      <c r="V142" s="1082" t="str">
        <f t="shared" si="28"/>
        <v>aHeizungsanlageinnerhalbHuelle</v>
      </c>
      <c r="W142" s="988"/>
      <c r="X142" s="988"/>
      <c r="Y142" s="1015">
        <v>1</v>
      </c>
    </row>
    <row r="143" spans="1:25" s="62" customFormat="1" ht="17.399999999999999" customHeight="1" thickBot="1">
      <c r="A143" s="1042" t="s">
        <v>2722</v>
      </c>
      <c r="B143" s="991"/>
      <c r="C143" s="992"/>
      <c r="D143" s="993" t="str">
        <f>IF(COUNTA(D144:D154)=COUNTIF(D144:D154,"ok"),$W$1,"Fehler im Bereich "&amp;A143)</f>
        <v>Prüfung Format: ok</v>
      </c>
      <c r="E143" s="992"/>
      <c r="F143" s="992"/>
      <c r="G143" s="992"/>
      <c r="H143" s="992"/>
      <c r="I143" s="1"/>
      <c r="J143" s="122">
        <f>ROW(A144)</f>
        <v>144</v>
      </c>
      <c r="K143" s="122">
        <f>ROW(A154)</f>
        <v>154</v>
      </c>
      <c r="L143" s="46" t="s">
        <v>1078</v>
      </c>
      <c r="M143" s="122"/>
      <c r="N143" s="988"/>
      <c r="O143" s="984"/>
      <c r="P143" s="1087"/>
      <c r="Q143" s="1087"/>
      <c r="R143" s="985"/>
      <c r="S143" s="1092" t="str">
        <f t="shared" si="23"/>
        <v/>
      </c>
      <c r="T143" s="1092" t="str">
        <f t="shared" si="24"/>
        <v/>
      </c>
      <c r="U143" s="985"/>
      <c r="V143" s="987"/>
      <c r="W143" s="988"/>
      <c r="X143" s="988"/>
      <c r="Y143" s="1021">
        <v>2780</v>
      </c>
    </row>
    <row r="144" spans="1:25" s="62" customFormat="1" ht="15" thickBot="1">
      <c r="A144" s="1045" t="s">
        <v>3075</v>
      </c>
      <c r="B144" s="141"/>
      <c r="D144" s="18"/>
      <c r="E144" s="18"/>
      <c r="F144" s="18"/>
      <c r="H144" s="18"/>
      <c r="I144" s="1"/>
      <c r="J144" s="122"/>
      <c r="K144" s="122"/>
      <c r="L144" s="46"/>
      <c r="M144" s="122"/>
      <c r="N144" s="1008"/>
      <c r="O144" s="984"/>
      <c r="P144" s="1087" t="s">
        <v>3181</v>
      </c>
      <c r="Q144" s="1087"/>
      <c r="R144" s="985"/>
      <c r="S144" s="1092" t="str">
        <f t="shared" si="23"/>
        <v/>
      </c>
      <c r="T144" s="1092" t="str">
        <f t="shared" si="24"/>
        <v/>
      </c>
      <c r="U144" s="985"/>
      <c r="V144" s="987"/>
      <c r="W144" s="988"/>
      <c r="X144" s="988"/>
      <c r="Y144" s="988"/>
    </row>
    <row r="145" spans="1:25" s="62" customFormat="1" ht="15" thickBot="1">
      <c r="A145" s="1057" t="s">
        <v>1050</v>
      </c>
      <c r="B145" s="1107" t="s">
        <v>2718</v>
      </c>
      <c r="D145" s="996" t="str">
        <f>IF(AND(Y145=0,B145=""),"ok",IF(ISERROR(MATCH(B145,$G$294:$G$299,0)),"Angabe fehlt","ok"))</f>
        <v>ok</v>
      </c>
      <c r="L145" s="46" t="s">
        <v>1059</v>
      </c>
      <c r="N145" s="1007" t="s">
        <v>1010</v>
      </c>
      <c r="O145" s="984"/>
      <c r="P145" s="1087"/>
      <c r="Q145" s="1087" t="s">
        <v>3171</v>
      </c>
      <c r="R145" s="986"/>
      <c r="S145" s="1092" t="str">
        <f t="shared" si="23"/>
        <v/>
      </c>
      <c r="T145" s="1092" t="str">
        <f t="shared" si="24"/>
        <v>aTrinkwarmwassererzeugerBauweise1</v>
      </c>
      <c r="U145" s="986"/>
      <c r="V145" s="1082" t="str">
        <f t="shared" ref="V145:V147" si="29">GetCellName(B145)</f>
        <v>aTrinkwarmwassererzeugerBauweise1</v>
      </c>
      <c r="W145" s="988"/>
      <c r="X145" s="988"/>
      <c r="Y145" s="1015">
        <v>1</v>
      </c>
    </row>
    <row r="146" spans="1:25" s="62" customFormat="1" ht="15" thickBot="1">
      <c r="A146" s="1057" t="s">
        <v>1051</v>
      </c>
      <c r="B146" s="1011">
        <v>2021</v>
      </c>
      <c r="D146" s="996" t="str">
        <f>IF(AND(Y146=0,B146=""),"ok",Plausibilitaet(B146,N146))</f>
        <v>ok</v>
      </c>
      <c r="L146" s="46" t="s">
        <v>3212</v>
      </c>
      <c r="N146" s="1002" t="s">
        <v>2764</v>
      </c>
      <c r="O146" s="984"/>
      <c r="P146" s="1087"/>
      <c r="Q146" s="1087" t="s">
        <v>3172</v>
      </c>
      <c r="R146" s="986"/>
      <c r="S146" s="1092" t="str">
        <f t="shared" si="23"/>
        <v>aTrinkwarmwassererzeugerBaujahr1</v>
      </c>
      <c r="T146" s="1092" t="str">
        <f t="shared" si="24"/>
        <v/>
      </c>
      <c r="U146" s="986"/>
      <c r="V146" s="1082" t="str">
        <f t="shared" si="29"/>
        <v>aTrinkwarmwassererzeugerBaujahr1</v>
      </c>
      <c r="W146" s="988"/>
      <c r="X146" s="988"/>
      <c r="Y146" s="1015">
        <v>1</v>
      </c>
    </row>
    <row r="147" spans="1:25" s="62" customFormat="1" ht="15" thickBot="1">
      <c r="A147" s="1057" t="s">
        <v>1048</v>
      </c>
      <c r="B147" s="1011">
        <v>1</v>
      </c>
      <c r="D147" s="996" t="str">
        <f>IF(AND(Y147=0,B147=""),"ok",Plausibilitaet(B147,N147))</f>
        <v>ok</v>
      </c>
      <c r="L147" s="46" t="s">
        <v>1061</v>
      </c>
      <c r="N147" s="983" t="s">
        <v>2766</v>
      </c>
      <c r="O147" s="984"/>
      <c r="P147" s="1087"/>
      <c r="Q147" s="1087" t="s">
        <v>2483</v>
      </c>
      <c r="R147" s="986"/>
      <c r="S147" s="1092" t="str">
        <f t="shared" si="23"/>
        <v>aAnzahlbaugleicheWW1</v>
      </c>
      <c r="T147" s="1092" t="str">
        <f t="shared" si="24"/>
        <v/>
      </c>
      <c r="U147" s="986"/>
      <c r="V147" s="1082" t="str">
        <f t="shared" si="29"/>
        <v>aAnzahlbaugleicheWW1</v>
      </c>
      <c r="W147" s="988"/>
      <c r="X147" s="988"/>
      <c r="Y147" s="1015">
        <v>1</v>
      </c>
    </row>
    <row r="148" spans="1:25" s="62" customFormat="1" ht="15" thickBot="1">
      <c r="A148" s="1045" t="s">
        <v>3076</v>
      </c>
      <c r="B148" s="1014"/>
      <c r="L148" s="46"/>
      <c r="N148" s="983"/>
      <c r="O148" s="984"/>
      <c r="P148" s="1087" t="s">
        <v>3181</v>
      </c>
      <c r="Q148" s="1087"/>
      <c r="R148" s="986"/>
      <c r="S148" s="1092" t="str">
        <f t="shared" si="23"/>
        <v/>
      </c>
      <c r="T148" s="1092" t="str">
        <f t="shared" si="24"/>
        <v/>
      </c>
      <c r="U148" s="986"/>
      <c r="V148" s="987"/>
      <c r="W148" s="988"/>
      <c r="X148" s="988"/>
      <c r="Y148" s="988"/>
    </row>
    <row r="149" spans="1:25" s="62" customFormat="1" ht="15" thickBot="1">
      <c r="A149" s="1057" t="s">
        <v>1050</v>
      </c>
      <c r="B149" s="1107" t="s">
        <v>2718</v>
      </c>
      <c r="D149" s="996" t="str">
        <f>IF(AND(Y149=0,B149=""),"ok",IF(ISERROR(MATCH(B149,$G$294:$G$299,0)),"Angabe fehlt","ok"))</f>
        <v>ok</v>
      </c>
      <c r="L149" s="46" t="s">
        <v>1059</v>
      </c>
      <c r="N149" s="1007" t="s">
        <v>1010</v>
      </c>
      <c r="O149" s="984"/>
      <c r="P149" s="1087"/>
      <c r="Q149" s="1087" t="s">
        <v>3173</v>
      </c>
      <c r="R149" s="986"/>
      <c r="S149" s="1092" t="str">
        <f t="shared" si="23"/>
        <v/>
      </c>
      <c r="T149" s="1092" t="str">
        <f t="shared" si="24"/>
        <v>aTrinkwarmwassererzeugerBauweise2</v>
      </c>
      <c r="U149" s="986"/>
      <c r="V149" s="1082" t="str">
        <f t="shared" ref="V149:V154" si="30">GetCellName(B149)</f>
        <v>aTrinkwarmwassererzeugerBauweise2</v>
      </c>
      <c r="W149" s="988"/>
      <c r="X149" s="988"/>
      <c r="Y149" s="1015">
        <v>1</v>
      </c>
    </row>
    <row r="150" spans="1:25" s="62" customFormat="1" ht="15" thickBot="1">
      <c r="A150" s="1057" t="s">
        <v>1051</v>
      </c>
      <c r="B150" s="1011">
        <v>2021</v>
      </c>
      <c r="D150" s="996" t="str">
        <f>IF(AND(Y150=0,B150=""),"ok",Plausibilitaet(B150,N150))</f>
        <v>ok</v>
      </c>
      <c r="L150" s="46" t="s">
        <v>1060</v>
      </c>
      <c r="N150" s="1002" t="s">
        <v>2764</v>
      </c>
      <c r="O150" s="984"/>
      <c r="P150" s="1087"/>
      <c r="Q150" s="1087" t="s">
        <v>3174</v>
      </c>
      <c r="R150" s="986"/>
      <c r="S150" s="1092" t="str">
        <f t="shared" si="23"/>
        <v>aTrinkwarmwassererzeugerBaujahr2</v>
      </c>
      <c r="T150" s="1092" t="str">
        <f t="shared" si="24"/>
        <v/>
      </c>
      <c r="U150" s="986"/>
      <c r="V150" s="1082" t="str">
        <f t="shared" si="30"/>
        <v>aTrinkwarmwassererzeugerBaujahr2</v>
      </c>
      <c r="W150" s="988"/>
      <c r="X150" s="988"/>
      <c r="Y150" s="1015">
        <v>1</v>
      </c>
    </row>
    <row r="151" spans="1:25" s="62" customFormat="1" ht="15" thickBot="1">
      <c r="A151" s="1057" t="s">
        <v>1048</v>
      </c>
      <c r="B151" s="1011">
        <v>1</v>
      </c>
      <c r="D151" s="996" t="str">
        <f>IF(AND(Y151=0,B151=""),"ok",Plausibilitaet(B151,N151))</f>
        <v>ok</v>
      </c>
      <c r="L151" s="46" t="s">
        <v>1061</v>
      </c>
      <c r="N151" s="983" t="s">
        <v>2766</v>
      </c>
      <c r="O151" s="984"/>
      <c r="P151" s="1087"/>
      <c r="Q151" s="1087" t="s">
        <v>2484</v>
      </c>
      <c r="R151" s="986"/>
      <c r="S151" s="1092" t="str">
        <f t="shared" si="23"/>
        <v>aAnzahlbaugleicheWW2</v>
      </c>
      <c r="T151" s="1092" t="str">
        <f t="shared" si="24"/>
        <v/>
      </c>
      <c r="U151" s="986"/>
      <c r="V151" s="1082" t="str">
        <f t="shared" si="30"/>
        <v>aAnzahlbaugleicheWW2</v>
      </c>
      <c r="W151" s="988"/>
      <c r="X151" s="988"/>
      <c r="Y151" s="1015">
        <v>1</v>
      </c>
    </row>
    <row r="152" spans="1:25" s="62" customFormat="1" ht="15" thickBot="1">
      <c r="A152" s="995" t="s">
        <v>3077</v>
      </c>
      <c r="B152" s="1011">
        <v>800</v>
      </c>
      <c r="D152" s="996" t="str">
        <f>IF(AND(Y152=0,B152=""),"ok",Plausibilitaet(B152,N152))</f>
        <v>ok</v>
      </c>
      <c r="L152" s="46" t="s">
        <v>3081</v>
      </c>
      <c r="N152" s="1002" t="s">
        <v>2759</v>
      </c>
      <c r="O152" s="984"/>
      <c r="P152" s="1087"/>
      <c r="Q152" s="1087" t="s">
        <v>3175</v>
      </c>
      <c r="R152" s="986"/>
      <c r="S152" s="1092" t="str">
        <f t="shared" si="23"/>
        <v>aTrinkwarmwasserspeicherNenninhalt</v>
      </c>
      <c r="T152" s="1092" t="str">
        <f t="shared" si="24"/>
        <v/>
      </c>
      <c r="U152" s="986"/>
      <c r="V152" s="1082" t="str">
        <f t="shared" si="30"/>
        <v>aTrinkwarmwasserspeicherNenninhalt</v>
      </c>
      <c r="W152" s="988"/>
      <c r="X152" s="1021">
        <v>2057</v>
      </c>
      <c r="Y152" s="1015">
        <v>1</v>
      </c>
    </row>
    <row r="153" spans="1:25" s="62" customFormat="1" ht="15" thickBot="1">
      <c r="A153" s="995" t="s">
        <v>3078</v>
      </c>
      <c r="B153" s="1107" t="s">
        <v>811</v>
      </c>
      <c r="D153" s="996" t="str">
        <f>IF(AND(Y153=0,B153=""),"ok",Plausibilitaet(B153,N153))</f>
        <v>ok</v>
      </c>
      <c r="L153" s="46" t="s">
        <v>1034</v>
      </c>
      <c r="N153" s="1007" t="s">
        <v>1028</v>
      </c>
      <c r="O153" s="984"/>
      <c r="P153" s="1087"/>
      <c r="Q153" s="1087" t="s">
        <v>3176</v>
      </c>
      <c r="R153" s="986"/>
      <c r="S153" s="1092" t="str">
        <f t="shared" si="23"/>
        <v/>
      </c>
      <c r="T153" s="1092" t="str">
        <f t="shared" si="24"/>
        <v>aTrinkwarmwasserverteilungZirkulation</v>
      </c>
      <c r="U153" s="986"/>
      <c r="V153" s="1082" t="str">
        <f t="shared" si="30"/>
        <v>aTrinkwarmwasserverteilungZirkulation</v>
      </c>
      <c r="W153" s="988"/>
      <c r="X153" s="988"/>
      <c r="Y153" s="1015">
        <v>1</v>
      </c>
    </row>
    <row r="154" spans="1:25" s="62" customFormat="1" ht="15" thickBot="1">
      <c r="A154" s="995" t="s">
        <v>1072</v>
      </c>
      <c r="B154" s="1046" t="s">
        <v>798</v>
      </c>
      <c r="D154" s="996" t="str">
        <f>IF(AND(Y154=0,B154=""),"ok",Plausibilitaet(B154,N154))</f>
        <v>ok</v>
      </c>
      <c r="L154" s="46" t="s">
        <v>3082</v>
      </c>
      <c r="N154" s="1007" t="s">
        <v>1028</v>
      </c>
      <c r="O154" s="984"/>
      <c r="P154" s="1087"/>
      <c r="Q154" s="1087" t="s">
        <v>943</v>
      </c>
      <c r="R154" s="986"/>
      <c r="S154" s="1092" t="str">
        <f t="shared" si="23"/>
        <v/>
      </c>
      <c r="T154" s="1092" t="str">
        <f t="shared" si="24"/>
        <v>aVereinfachteDatenaufnahme</v>
      </c>
      <c r="U154" s="986"/>
      <c r="V154" s="1082" t="str">
        <f t="shared" si="30"/>
        <v>aVereinfachteDatenaufnahme</v>
      </c>
      <c r="W154" s="988"/>
      <c r="X154" s="988"/>
      <c r="Y154" s="1015">
        <v>1</v>
      </c>
    </row>
    <row r="155" spans="1:25" s="62" customFormat="1" ht="18.600000000000001" customHeight="1" thickBot="1">
      <c r="A155" s="1042" t="s">
        <v>2643</v>
      </c>
      <c r="B155" s="991"/>
      <c r="C155" s="992"/>
      <c r="D155" s="993" t="str">
        <f ca="1">IF(COUNTA(D156:D197)=COUNTIF(D156:D197,"ok"),$W$1,"Fehler im Bereich "&amp;A155)</f>
        <v>Prüfung Format: ok</v>
      </c>
      <c r="E155" s="992"/>
      <c r="F155" s="992"/>
      <c r="G155" s="992"/>
      <c r="H155" s="992"/>
      <c r="I155" s="1"/>
      <c r="J155" s="122">
        <f>ROW(A156)</f>
        <v>156</v>
      </c>
      <c r="K155" s="122">
        <f>ROW(A197)</f>
        <v>197</v>
      </c>
      <c r="L155" s="46"/>
      <c r="M155" s="122"/>
      <c r="N155" s="1008"/>
      <c r="O155" s="984"/>
      <c r="P155" s="1089" t="s">
        <v>3217</v>
      </c>
      <c r="Q155" s="1087"/>
      <c r="R155" s="986"/>
      <c r="S155" s="1092" t="str">
        <f t="shared" si="23"/>
        <v/>
      </c>
      <c r="T155" s="1092" t="str">
        <f t="shared" si="24"/>
        <v/>
      </c>
      <c r="U155" s="985"/>
      <c r="V155" s="987"/>
      <c r="W155" s="988"/>
      <c r="X155" s="988"/>
      <c r="Y155" s="1021">
        <v>2090</v>
      </c>
    </row>
    <row r="156" spans="1:25" s="62" customFormat="1" ht="27.6">
      <c r="A156" s="1047" t="s">
        <v>3188</v>
      </c>
      <c r="B156" s="1014" t="str">
        <f ca="1">TEXT(zHT,"0,00")</f>
        <v>0,25</v>
      </c>
      <c r="C156" s="62" t="s">
        <v>3192</v>
      </c>
      <c r="D156" s="1101" t="str">
        <f t="shared" ref="D156:D164" ca="1" si="31">IF(AND(Y156=0,B156=""),"ok",Plausibilitaet(B156,N156))</f>
        <v>ok</v>
      </c>
      <c r="H156" s="1074"/>
      <c r="L156" s="726" t="s">
        <v>3067</v>
      </c>
      <c r="N156" s="983" t="s">
        <v>2757</v>
      </c>
      <c r="O156" s="984"/>
      <c r="P156" s="1087"/>
      <c r="Q156" s="1087" t="s">
        <v>3177</v>
      </c>
      <c r="R156" s="986"/>
      <c r="S156" s="1092" t="str">
        <f t="shared" si="23"/>
        <v/>
      </c>
      <c r="T156" s="1092" t="str">
        <f t="shared" si="24"/>
        <v/>
      </c>
      <c r="U156" s="986"/>
      <c r="V156" s="987"/>
      <c r="W156" s="1082" t="str">
        <f t="shared" ref="W156:W157" si="32">GetCellName(B156)</f>
        <v>aspezifischerTransmissionswaermeverlustIst</v>
      </c>
      <c r="X156" s="988"/>
      <c r="Y156" s="1015">
        <v>1</v>
      </c>
    </row>
    <row r="157" spans="1:25" s="62" customFormat="1" ht="28.2" thickBot="1">
      <c r="A157" s="1047" t="s">
        <v>3189</v>
      </c>
      <c r="B157" s="1014" t="str">
        <f ca="1">TEXT(zHTzul,"0,00")</f>
        <v>0,36</v>
      </c>
      <c r="C157" s="62" t="s">
        <v>3193</v>
      </c>
      <c r="D157" s="1101" t="str">
        <f t="shared" ca="1" si="31"/>
        <v>ok</v>
      </c>
      <c r="H157" s="1074"/>
      <c r="L157" s="726" t="s">
        <v>3068</v>
      </c>
      <c r="N157" s="983" t="s">
        <v>2757</v>
      </c>
      <c r="O157" s="984"/>
      <c r="P157" s="1087"/>
      <c r="Q157" s="1087" t="s">
        <v>3178</v>
      </c>
      <c r="R157" s="986"/>
      <c r="S157" s="1092" t="str">
        <f t="shared" si="23"/>
        <v/>
      </c>
      <c r="T157" s="1092" t="str">
        <f t="shared" si="24"/>
        <v/>
      </c>
      <c r="U157" s="986"/>
      <c r="V157" s="987"/>
      <c r="W157" s="1082" t="str">
        <f t="shared" si="32"/>
        <v>aspezifischerTransmissionswaermeverlustHoechstwert</v>
      </c>
      <c r="X157" s="988"/>
      <c r="Y157" s="1015">
        <v>0</v>
      </c>
    </row>
    <row r="158" spans="1:25" s="62" customFormat="1" ht="28.2" thickBot="1">
      <c r="A158" s="1047" t="s">
        <v>3190</v>
      </c>
      <c r="B158" s="1011"/>
      <c r="D158" s="1101" t="str">
        <f t="shared" si="31"/>
        <v>ok</v>
      </c>
      <c r="H158" s="1074"/>
      <c r="L158" s="726" t="s">
        <v>3083</v>
      </c>
      <c r="N158" s="983" t="s">
        <v>2763</v>
      </c>
      <c r="O158" s="984"/>
      <c r="P158" s="1087"/>
      <c r="Q158" s="1087" t="s">
        <v>944</v>
      </c>
      <c r="R158" s="986"/>
      <c r="S158" s="1092" t="str">
        <f t="shared" si="23"/>
        <v>aangerechneterlokalererneuerbarerStrom</v>
      </c>
      <c r="T158" s="1092" t="str">
        <f t="shared" si="24"/>
        <v/>
      </c>
      <c r="U158" s="986"/>
      <c r="V158" s="1082" t="str">
        <f t="shared" ref="V158" si="33">GetCellName(B158)</f>
        <v>aangerechneterlokalererneuerbarerStrom</v>
      </c>
      <c r="W158" s="988"/>
      <c r="X158" s="988"/>
      <c r="Y158" s="1015">
        <v>0</v>
      </c>
    </row>
    <row r="159" spans="1:25" s="62" customFormat="1">
      <c r="A159" s="1047" t="s">
        <v>3086</v>
      </c>
      <c r="B159" s="1014" t="s">
        <v>798</v>
      </c>
      <c r="C159" s="608" t="s">
        <v>3259</v>
      </c>
      <c r="D159" s="1101" t="str">
        <f t="shared" si="31"/>
        <v>ok</v>
      </c>
      <c r="E159" s="608"/>
      <c r="H159" s="1075" t="s">
        <v>3059</v>
      </c>
      <c r="L159" s="726" t="s">
        <v>3087</v>
      </c>
      <c r="N159" s="1007" t="s">
        <v>1028</v>
      </c>
      <c r="O159" s="984"/>
      <c r="P159" s="1087"/>
      <c r="Q159" s="1087" t="s">
        <v>3086</v>
      </c>
      <c r="R159" s="986"/>
      <c r="S159" s="1092" t="str">
        <f t="shared" si="23"/>
        <v/>
      </c>
      <c r="T159" s="1092" t="str">
        <f t="shared" si="24"/>
        <v/>
      </c>
      <c r="U159" s="986"/>
      <c r="V159" s="987"/>
      <c r="W159" s="1082" t="str">
        <f t="shared" ref="W159:W164" si="34">GetCellName(B159)</f>
        <v>aInnovationsklausel</v>
      </c>
      <c r="X159" s="988"/>
      <c r="Y159" s="1015">
        <v>1</v>
      </c>
    </row>
    <row r="160" spans="1:25" s="62" customFormat="1">
      <c r="A160" s="1047" t="s">
        <v>3088</v>
      </c>
      <c r="B160" s="1014" t="s">
        <v>798</v>
      </c>
      <c r="C160" s="608" t="s">
        <v>3259</v>
      </c>
      <c r="D160" s="1101" t="str">
        <f t="shared" si="31"/>
        <v>ok</v>
      </c>
      <c r="E160" s="608"/>
      <c r="H160" s="1075" t="s">
        <v>3059</v>
      </c>
      <c r="L160" s="726" t="s">
        <v>3089</v>
      </c>
      <c r="N160" s="1007" t="s">
        <v>1028</v>
      </c>
      <c r="O160" s="984"/>
      <c r="P160" s="1087"/>
      <c r="Q160" s="1087" t="s">
        <v>3088</v>
      </c>
      <c r="R160" s="986"/>
      <c r="S160" s="1092" t="str">
        <f t="shared" si="23"/>
        <v/>
      </c>
      <c r="T160" s="1092" t="str">
        <f t="shared" si="24"/>
        <v/>
      </c>
      <c r="U160" s="986"/>
      <c r="V160" s="987"/>
      <c r="W160" s="1082" t="str">
        <f t="shared" si="34"/>
        <v>aQuartiersregelung</v>
      </c>
      <c r="X160" s="988"/>
      <c r="Y160" s="1015">
        <v>1</v>
      </c>
    </row>
    <row r="161" spans="1:25" s="727" customFormat="1" ht="27.6">
      <c r="A161" s="980" t="s">
        <v>3256</v>
      </c>
      <c r="B161" s="1097">
        <v>0</v>
      </c>
      <c r="D161" s="1105" t="str">
        <f t="shared" si="31"/>
        <v>ok</v>
      </c>
      <c r="E161" s="954"/>
      <c r="H161" s="1075" t="s">
        <v>3263</v>
      </c>
      <c r="L161" s="726" t="s">
        <v>3260</v>
      </c>
      <c r="N161" s="839" t="s">
        <v>2761</v>
      </c>
      <c r="O161" s="951"/>
      <c r="P161" s="1088"/>
      <c r="Q161" s="1088" t="s">
        <v>2724</v>
      </c>
      <c r="R161" s="953"/>
      <c r="S161" s="1092" t="str">
        <f t="shared" si="23"/>
        <v/>
      </c>
      <c r="T161" s="1092" t="str">
        <f t="shared" si="24"/>
        <v/>
      </c>
      <c r="U161" s="953"/>
      <c r="V161" s="957"/>
      <c r="W161" s="1082" t="str">
        <f t="shared" si="34"/>
        <v>aPrimaerenergiebedarfHoechstwertBestand</v>
      </c>
      <c r="X161" s="840"/>
      <c r="Y161" s="979">
        <v>1</v>
      </c>
    </row>
    <row r="162" spans="1:25" s="62" customFormat="1" ht="27.6">
      <c r="A162" s="1047" t="s">
        <v>3187</v>
      </c>
      <c r="B162" s="1014" t="str">
        <f ca="1">TEXT(zQPzul,"0,0")</f>
        <v>38,5</v>
      </c>
      <c r="C162" s="62" t="s">
        <v>3223</v>
      </c>
      <c r="D162" s="1101" t="str">
        <f t="shared" ca="1" si="31"/>
        <v>ok</v>
      </c>
      <c r="E162" s="608"/>
      <c r="H162" s="1075" t="s">
        <v>3059</v>
      </c>
      <c r="L162" s="726" t="s">
        <v>3090</v>
      </c>
      <c r="N162" s="983" t="s">
        <v>3096</v>
      </c>
      <c r="O162" s="984"/>
      <c r="P162" s="1087"/>
      <c r="Q162" s="1087" t="s">
        <v>3091</v>
      </c>
      <c r="R162" s="986"/>
      <c r="S162" s="1092" t="str">
        <f t="shared" si="23"/>
        <v/>
      </c>
      <c r="T162" s="1092" t="str">
        <f t="shared" si="24"/>
        <v/>
      </c>
      <c r="U162" s="986"/>
      <c r="V162" s="987"/>
      <c r="W162" s="1082" t="str">
        <f t="shared" si="34"/>
        <v>aPrimaerenergiebedarfHoechstwertNeubau</v>
      </c>
      <c r="X162" s="988"/>
      <c r="Y162" s="1015">
        <v>1</v>
      </c>
    </row>
    <row r="163" spans="1:25" s="62" customFormat="1" ht="27.6">
      <c r="A163" s="980" t="s">
        <v>3186</v>
      </c>
      <c r="B163" s="1097">
        <v>0</v>
      </c>
      <c r="D163" s="1101" t="str">
        <f t="shared" si="31"/>
        <v>ok</v>
      </c>
      <c r="E163" s="608"/>
      <c r="H163" s="1075" t="s">
        <v>3263</v>
      </c>
      <c r="L163" s="726" t="s">
        <v>3094</v>
      </c>
      <c r="N163" s="983" t="s">
        <v>3096</v>
      </c>
      <c r="O163" s="984"/>
      <c r="P163" s="1087"/>
      <c r="Q163" s="1087" t="s">
        <v>3092</v>
      </c>
      <c r="R163" s="986"/>
      <c r="S163" s="1092" t="str">
        <f t="shared" si="23"/>
        <v/>
      </c>
      <c r="T163" s="1092" t="str">
        <f t="shared" si="24"/>
        <v/>
      </c>
      <c r="U163" s="986"/>
      <c r="V163" s="987"/>
      <c r="W163" s="1082" t="str">
        <f t="shared" si="34"/>
        <v>aEndenergiebedarfHoechstwertNeubau</v>
      </c>
      <c r="X163" s="988"/>
      <c r="Y163" s="1015">
        <v>1</v>
      </c>
    </row>
    <row r="164" spans="1:25" s="62" customFormat="1" ht="27.6">
      <c r="A164" s="980" t="s">
        <v>3191</v>
      </c>
      <c r="B164" s="1097">
        <v>0</v>
      </c>
      <c r="D164" s="1101" t="str">
        <f t="shared" si="31"/>
        <v>ok</v>
      </c>
      <c r="E164" s="608"/>
      <c r="H164" s="1075" t="s">
        <v>3263</v>
      </c>
      <c r="L164" s="726" t="s">
        <v>3095</v>
      </c>
      <c r="N164" s="983" t="s">
        <v>3027</v>
      </c>
      <c r="O164" s="984"/>
      <c r="P164" s="1087"/>
      <c r="Q164" s="1087" t="s">
        <v>3093</v>
      </c>
      <c r="R164" s="986"/>
      <c r="S164" s="1092" t="str">
        <f t="shared" si="23"/>
        <v/>
      </c>
      <c r="T164" s="1092" t="str">
        <f t="shared" si="24"/>
        <v/>
      </c>
      <c r="U164" s="986"/>
      <c r="V164" s="987"/>
      <c r="W164" s="1082" t="str">
        <f t="shared" si="34"/>
        <v>aTreibhausgasemissionenHoechstwertNeubau</v>
      </c>
      <c r="X164" s="988"/>
      <c r="Y164" s="1015">
        <v>1</v>
      </c>
    </row>
    <row r="165" spans="1:25" s="62" customFormat="1" ht="15" thickBot="1">
      <c r="A165" s="1045" t="s">
        <v>3220</v>
      </c>
      <c r="B165" s="1047"/>
      <c r="C165" s="1047"/>
      <c r="D165" s="1047"/>
      <c r="E165" s="1047"/>
      <c r="F165" s="1047"/>
      <c r="H165" s="1076"/>
      <c r="L165" s="726"/>
      <c r="N165" s="983"/>
      <c r="O165" s="984"/>
      <c r="P165" s="1087"/>
      <c r="Q165" s="1087"/>
      <c r="R165" s="986"/>
      <c r="S165" s="1092" t="str">
        <f t="shared" si="23"/>
        <v/>
      </c>
      <c r="T165" s="1092" t="str">
        <f t="shared" si="24"/>
        <v/>
      </c>
      <c r="U165" s="986"/>
      <c r="V165" s="987"/>
      <c r="W165" s="1007"/>
      <c r="X165" s="988"/>
      <c r="Y165" s="1015"/>
    </row>
    <row r="166" spans="1:25" s="62" customFormat="1" ht="15" thickBot="1">
      <c r="A166" s="1057" t="s">
        <v>3240</v>
      </c>
      <c r="B166" s="1378" t="s">
        <v>3165</v>
      </c>
      <c r="C166" s="1378"/>
      <c r="D166" s="1101" t="str">
        <f>IF(AND(Y166=0,B166=""),"ok",IF(ISERROR(MATCH(B166,$G$262:$G$287,0)),"Angabe fehlt","ok"))</f>
        <v>ok</v>
      </c>
      <c r="E166" s="608"/>
      <c r="H166" s="1075" t="s">
        <v>3059</v>
      </c>
      <c r="L166" s="726"/>
      <c r="N166" s="1007" t="s">
        <v>1010</v>
      </c>
      <c r="O166" s="984"/>
      <c r="P166" s="1087"/>
      <c r="Q166" s="1087" t="s">
        <v>3225</v>
      </c>
      <c r="R166" s="986"/>
      <c r="S166" s="1092" t="str">
        <f t="shared" si="23"/>
        <v/>
      </c>
      <c r="T166" s="1092" t="str">
        <f t="shared" si="24"/>
        <v>aEnergietraegerbezeichnung1</v>
      </c>
      <c r="U166" s="986"/>
      <c r="V166" s="1082" t="str">
        <f t="shared" ref="V166:V168" si="35">GetCellName(B166)</f>
        <v>aEnergietraegerbezeichnung1</v>
      </c>
      <c r="W166" s="1007"/>
      <c r="X166" s="988"/>
      <c r="Y166" s="1015">
        <v>1</v>
      </c>
    </row>
    <row r="167" spans="1:25" s="62" customFormat="1" ht="15" thickBot="1">
      <c r="A167" s="1057" t="s">
        <v>3244</v>
      </c>
      <c r="B167" s="1011">
        <v>1.8</v>
      </c>
      <c r="C167" s="1098"/>
      <c r="D167" s="1101" t="str">
        <f t="shared" ref="D167:D173" si="36">IF(AND(Y167=0,B167=""),"ok",Plausibilitaet(B167,N167))</f>
        <v>ok</v>
      </c>
      <c r="E167" s="608"/>
      <c r="H167" s="1075" t="s">
        <v>3059</v>
      </c>
      <c r="L167" s="726" t="s">
        <v>3233</v>
      </c>
      <c r="N167" s="983" t="s">
        <v>3226</v>
      </c>
      <c r="O167" s="984"/>
      <c r="P167" s="1087"/>
      <c r="Q167" s="1087" t="s">
        <v>3248</v>
      </c>
      <c r="R167" s="986"/>
      <c r="S167" s="1092" t="str">
        <f t="shared" si="23"/>
        <v>aPrimaerenergiefaktorListe1</v>
      </c>
      <c r="T167" s="1092" t="str">
        <f t="shared" si="24"/>
        <v/>
      </c>
      <c r="U167" s="986"/>
      <c r="V167" s="1082" t="str">
        <f t="shared" si="35"/>
        <v>aPrimaerenergiefaktorListe1</v>
      </c>
      <c r="W167" s="1007"/>
      <c r="X167" s="988"/>
      <c r="Y167" s="1015">
        <v>1</v>
      </c>
    </row>
    <row r="168" spans="1:25" s="62" customFormat="1" ht="15" thickBot="1">
      <c r="A168" s="1057" t="s">
        <v>3241</v>
      </c>
      <c r="B168" s="1011">
        <v>16.5</v>
      </c>
      <c r="C168" s="1098"/>
      <c r="D168" s="1101" t="str">
        <f t="shared" si="36"/>
        <v>ok</v>
      </c>
      <c r="E168" s="608"/>
      <c r="H168" s="1075" t="s">
        <v>3059</v>
      </c>
      <c r="L168" s="726" t="s">
        <v>3232</v>
      </c>
      <c r="N168" s="983" t="s">
        <v>3096</v>
      </c>
      <c r="O168" s="984"/>
      <c r="P168" s="1087"/>
      <c r="Q168" s="1087" t="s">
        <v>3234</v>
      </c>
      <c r="R168" s="986"/>
      <c r="S168" s="1092" t="str">
        <f t="shared" si="23"/>
        <v>aEndenergiebedarfHeizungspezifisch1</v>
      </c>
      <c r="T168" s="1092" t="str">
        <f t="shared" si="24"/>
        <v/>
      </c>
      <c r="U168" s="986"/>
      <c r="V168" s="1082" t="str">
        <f t="shared" si="35"/>
        <v>aEndenergiebedarfHeizungspezifisch1</v>
      </c>
      <c r="W168" s="1007"/>
      <c r="X168" s="988"/>
      <c r="Y168" s="1015">
        <v>1</v>
      </c>
    </row>
    <row r="169" spans="1:25" s="62" customFormat="1" ht="15" thickBot="1">
      <c r="A169" s="1058" t="s">
        <v>3246</v>
      </c>
      <c r="B169" s="1097">
        <v>0</v>
      </c>
      <c r="C169" s="1098"/>
      <c r="D169" s="1101" t="str">
        <f t="shared" si="36"/>
        <v>ok</v>
      </c>
      <c r="E169" s="608"/>
      <c r="H169" s="1075" t="s">
        <v>3263</v>
      </c>
      <c r="L169" s="726" t="s">
        <v>3231</v>
      </c>
      <c r="N169" s="983" t="s">
        <v>3096</v>
      </c>
      <c r="O169" s="984"/>
      <c r="P169" s="1087"/>
      <c r="Q169" s="1087" t="s">
        <v>3235</v>
      </c>
      <c r="R169" s="986"/>
      <c r="S169" s="1092" t="str">
        <f t="shared" si="23"/>
        <v/>
      </c>
      <c r="T169" s="1092" t="str">
        <f t="shared" si="24"/>
        <v/>
      </c>
      <c r="U169" s="986"/>
      <c r="V169" s="987"/>
      <c r="W169" s="1082" t="str">
        <f t="shared" ref="W169" si="37">GetCellName(B169)</f>
        <v>aEndenergiebedarfKuehlungBefeuchtungspezifisch1</v>
      </c>
      <c r="X169" s="988"/>
      <c r="Y169" s="1015">
        <v>1</v>
      </c>
    </row>
    <row r="170" spans="1:25" s="62" customFormat="1" ht="15" thickBot="1">
      <c r="A170" s="1057" t="s">
        <v>3242</v>
      </c>
      <c r="B170" s="1011">
        <v>6.3</v>
      </c>
      <c r="C170" s="1098"/>
      <c r="D170" s="1101" t="str">
        <f t="shared" si="36"/>
        <v>ok</v>
      </c>
      <c r="E170" s="608"/>
      <c r="H170" s="1075" t="s">
        <v>3059</v>
      </c>
      <c r="L170" s="726" t="s">
        <v>3230</v>
      </c>
      <c r="N170" s="983" t="s">
        <v>3096</v>
      </c>
      <c r="O170" s="984"/>
      <c r="P170" s="1087"/>
      <c r="Q170" s="1087" t="s">
        <v>3236</v>
      </c>
      <c r="R170" s="986"/>
      <c r="S170" s="1092" t="str">
        <f t="shared" si="23"/>
        <v>aEndenergiebedarfTrinkwarmwasserspezifisch1</v>
      </c>
      <c r="T170" s="1092" t="str">
        <f t="shared" si="24"/>
        <v/>
      </c>
      <c r="U170" s="986"/>
      <c r="V170" s="1082" t="str">
        <f t="shared" ref="V170" si="38">GetCellName(B170)</f>
        <v>aEndenergiebedarfTrinkwarmwasserspezifisch1</v>
      </c>
      <c r="W170" s="1007"/>
      <c r="X170" s="988"/>
      <c r="Y170" s="1015">
        <v>1</v>
      </c>
    </row>
    <row r="171" spans="1:25" s="62" customFormat="1" ht="15" thickBot="1">
      <c r="A171" s="1058" t="s">
        <v>3243</v>
      </c>
      <c r="B171" s="1097">
        <v>0</v>
      </c>
      <c r="C171" s="1098"/>
      <c r="D171" s="1101" t="str">
        <f t="shared" si="36"/>
        <v>ok</v>
      </c>
      <c r="E171" s="608"/>
      <c r="H171" s="1075" t="s">
        <v>3263</v>
      </c>
      <c r="L171" s="726" t="s">
        <v>3229</v>
      </c>
      <c r="N171" s="983" t="s">
        <v>3096</v>
      </c>
      <c r="O171" s="984"/>
      <c r="P171" s="1087"/>
      <c r="Q171" s="1087" t="s">
        <v>3237</v>
      </c>
      <c r="R171" s="986"/>
      <c r="S171" s="1092" t="str">
        <f t="shared" si="23"/>
        <v/>
      </c>
      <c r="T171" s="1092" t="str">
        <f t="shared" si="24"/>
        <v/>
      </c>
      <c r="U171" s="986"/>
      <c r="V171" s="987"/>
      <c r="W171" s="1082" t="str">
        <f t="shared" ref="W171:W173" si="39">GetCellName(B171)</f>
        <v>aEndenergiebedarfBeleuchtungspezifisch1</v>
      </c>
      <c r="X171" s="988"/>
      <c r="Y171" s="1015">
        <v>1</v>
      </c>
    </row>
    <row r="172" spans="1:25" s="62" customFormat="1" ht="15" thickBot="1">
      <c r="A172" s="1058" t="s">
        <v>3247</v>
      </c>
      <c r="B172" s="1097">
        <v>0</v>
      </c>
      <c r="C172" s="1098"/>
      <c r="D172" s="1101" t="str">
        <f t="shared" si="36"/>
        <v>ok</v>
      </c>
      <c r="E172" s="608"/>
      <c r="H172" s="1075" t="s">
        <v>3263</v>
      </c>
      <c r="L172" s="726" t="s">
        <v>3228</v>
      </c>
      <c r="N172" s="983" t="s">
        <v>3096</v>
      </c>
      <c r="O172" s="984"/>
      <c r="P172" s="1087"/>
      <c r="Q172" s="1087" t="s">
        <v>3238</v>
      </c>
      <c r="R172" s="986"/>
      <c r="S172" s="1092" t="str">
        <f t="shared" si="23"/>
        <v/>
      </c>
      <c r="T172" s="1092" t="str">
        <f t="shared" si="24"/>
        <v/>
      </c>
      <c r="U172" s="986"/>
      <c r="V172" s="987"/>
      <c r="W172" s="1082" t="str">
        <f t="shared" si="39"/>
        <v>aEndenergiebedarfLueftungspezifisch1</v>
      </c>
      <c r="X172" s="988"/>
      <c r="Y172" s="1015">
        <v>1</v>
      </c>
    </row>
    <row r="173" spans="1:25" s="62" customFormat="1" ht="15" thickBot="1">
      <c r="A173" s="1057" t="s">
        <v>3245</v>
      </c>
      <c r="B173" s="1099">
        <f>SUM(B168:B172)</f>
        <v>22.8</v>
      </c>
      <c r="C173" s="1098"/>
      <c r="D173" s="1101" t="str">
        <f t="shared" si="36"/>
        <v>ok</v>
      </c>
      <c r="E173" s="608"/>
      <c r="H173" s="1075" t="s">
        <v>3059</v>
      </c>
      <c r="L173" s="726" t="s">
        <v>3227</v>
      </c>
      <c r="N173" s="983" t="s">
        <v>3096</v>
      </c>
      <c r="O173" s="984"/>
      <c r="P173" s="1087"/>
      <c r="Q173" s="1087" t="s">
        <v>3239</v>
      </c>
      <c r="R173" s="986"/>
      <c r="S173" s="1092" t="str">
        <f t="shared" si="23"/>
        <v/>
      </c>
      <c r="T173" s="1092" t="str">
        <f t="shared" si="24"/>
        <v/>
      </c>
      <c r="U173" s="986"/>
      <c r="V173" s="987"/>
      <c r="W173" s="1082" t="str">
        <f t="shared" si="39"/>
        <v>aEndenergiebedarfEnergietraegerGesamtgebaeudespezifisch1</v>
      </c>
      <c r="X173" s="988"/>
      <c r="Y173" s="1015">
        <v>1</v>
      </c>
    </row>
    <row r="174" spans="1:25" s="62" customFormat="1" ht="15" thickBot="1">
      <c r="A174" s="1045" t="s">
        <v>3257</v>
      </c>
      <c r="B174" s="1047"/>
      <c r="C174" s="1047"/>
      <c r="D174" s="1047"/>
      <c r="E174" s="1047"/>
      <c r="F174" s="1047"/>
      <c r="H174" s="1076"/>
      <c r="L174" s="726"/>
      <c r="N174" s="983"/>
      <c r="O174" s="984"/>
      <c r="P174" s="1087"/>
      <c r="Q174" s="1087"/>
      <c r="R174" s="986"/>
      <c r="S174" s="1092" t="str">
        <f t="shared" si="23"/>
        <v/>
      </c>
      <c r="T174" s="1092" t="str">
        <f t="shared" si="24"/>
        <v/>
      </c>
      <c r="U174" s="986"/>
      <c r="V174" s="987"/>
      <c r="W174" s="1007"/>
      <c r="X174" s="988"/>
      <c r="Y174" s="1015"/>
    </row>
    <row r="175" spans="1:25" s="62" customFormat="1" ht="15" thickBot="1">
      <c r="A175" s="1057" t="s">
        <v>3240</v>
      </c>
      <c r="B175" s="1378" t="s">
        <v>3165</v>
      </c>
      <c r="C175" s="1378"/>
      <c r="D175" s="1101" t="str">
        <f>IF(AND(Y175=0,B175=""),"ok",IF(ISERROR(MATCH(B175,$G$262:$G$287,0)),"Angabe fehlt","ok"))</f>
        <v>ok</v>
      </c>
      <c r="E175" s="608"/>
      <c r="H175" s="1075" t="s">
        <v>3059</v>
      </c>
      <c r="L175" s="726"/>
      <c r="N175" s="1007" t="s">
        <v>1010</v>
      </c>
      <c r="O175" s="984"/>
      <c r="P175" s="1087"/>
      <c r="Q175" s="1087" t="str">
        <f>SUBSTITUTE(Q166,1,2)</f>
        <v>Energietraegerbezeichnung2</v>
      </c>
      <c r="R175" s="986"/>
      <c r="S175" s="1092" t="str">
        <f t="shared" si="23"/>
        <v/>
      </c>
      <c r="T175" s="1092" t="str">
        <f t="shared" si="24"/>
        <v>aEnergietraegerbezeichnung2</v>
      </c>
      <c r="U175" s="986"/>
      <c r="V175" s="1082" t="str">
        <f t="shared" ref="V175:V177" si="40">GetCellName(B175)</f>
        <v>aEnergietraegerbezeichnung2</v>
      </c>
      <c r="W175" s="1007"/>
      <c r="X175" s="988"/>
      <c r="Y175" s="1015">
        <v>1</v>
      </c>
    </row>
    <row r="176" spans="1:25" s="62" customFormat="1" ht="15" thickBot="1">
      <c r="A176" s="1057" t="s">
        <v>3244</v>
      </c>
      <c r="B176" s="1011">
        <v>1.8</v>
      </c>
      <c r="C176" s="1098"/>
      <c r="D176" s="1101" t="str">
        <f t="shared" ref="D176:D182" si="41">IF(AND(Y176=0,B176=""),"ok",Plausibilitaet(B176,N176))</f>
        <v>ok</v>
      </c>
      <c r="E176" s="608"/>
      <c r="H176" s="1075" t="s">
        <v>3059</v>
      </c>
      <c r="L176" s="726" t="s">
        <v>3233</v>
      </c>
      <c r="N176" s="983" t="s">
        <v>3226</v>
      </c>
      <c r="O176" s="984"/>
      <c r="P176" s="1087"/>
      <c r="Q176" s="1087" t="str">
        <f t="shared" ref="Q176:Q182" si="42">SUBSTITUTE(Q167,1,2)</f>
        <v>PrimaerenergiefaktorListe2</v>
      </c>
      <c r="R176" s="986"/>
      <c r="S176" s="1092" t="str">
        <f t="shared" si="23"/>
        <v>aPrimaerenergiefaktorListe2</v>
      </c>
      <c r="T176" s="1092" t="str">
        <f t="shared" si="24"/>
        <v/>
      </c>
      <c r="U176" s="986"/>
      <c r="V176" s="1082" t="str">
        <f t="shared" si="40"/>
        <v>aPrimaerenergiefaktorListe2</v>
      </c>
      <c r="W176" s="1007"/>
      <c r="X176" s="988"/>
      <c r="Y176" s="1015">
        <v>1</v>
      </c>
    </row>
    <row r="177" spans="1:25" s="62" customFormat="1" ht="15" thickBot="1">
      <c r="A177" s="1057" t="s">
        <v>3241</v>
      </c>
      <c r="B177" s="1011">
        <v>0</v>
      </c>
      <c r="C177" s="1098"/>
      <c r="D177" s="1101" t="str">
        <f t="shared" si="41"/>
        <v>ok</v>
      </c>
      <c r="E177" s="608"/>
      <c r="H177" s="1075" t="s">
        <v>3059</v>
      </c>
      <c r="L177" s="726" t="s">
        <v>3232</v>
      </c>
      <c r="N177" s="983" t="s">
        <v>3096</v>
      </c>
      <c r="O177" s="984"/>
      <c r="P177" s="1087"/>
      <c r="Q177" s="1087" t="str">
        <f t="shared" si="42"/>
        <v>Endenergiebedarf-Heizung-spezifisch2</v>
      </c>
      <c r="R177" s="986"/>
      <c r="S177" s="1092" t="str">
        <f t="shared" si="23"/>
        <v>aEndenergiebedarfHeizungspezifisch2</v>
      </c>
      <c r="T177" s="1092" t="str">
        <f t="shared" si="24"/>
        <v/>
      </c>
      <c r="U177" s="986"/>
      <c r="V177" s="1082" t="str">
        <f t="shared" si="40"/>
        <v>aEndenergiebedarfHeizungspezifisch2</v>
      </c>
      <c r="W177" s="1007"/>
      <c r="X177" s="988"/>
      <c r="Y177" s="1015">
        <v>1</v>
      </c>
    </row>
    <row r="178" spans="1:25" s="62" customFormat="1" ht="15" thickBot="1">
      <c r="A178" s="1058" t="s">
        <v>3246</v>
      </c>
      <c r="B178" s="1097">
        <v>0</v>
      </c>
      <c r="C178" s="1098"/>
      <c r="D178" s="1101" t="str">
        <f t="shared" si="41"/>
        <v>ok</v>
      </c>
      <c r="E178" s="608"/>
      <c r="H178" s="1075" t="s">
        <v>3263</v>
      </c>
      <c r="L178" s="726" t="s">
        <v>3231</v>
      </c>
      <c r="N178" s="983" t="s">
        <v>3096</v>
      </c>
      <c r="O178" s="984"/>
      <c r="P178" s="1087"/>
      <c r="Q178" s="1087" t="str">
        <f t="shared" si="42"/>
        <v>Endenergiebedarf-Kuehlung-Befeuchtung-spezifisch2</v>
      </c>
      <c r="R178" s="986"/>
      <c r="S178" s="1092" t="str">
        <f t="shared" si="23"/>
        <v/>
      </c>
      <c r="T178" s="1092" t="str">
        <f t="shared" si="24"/>
        <v/>
      </c>
      <c r="U178" s="986"/>
      <c r="V178" s="987"/>
      <c r="W178" s="1082" t="str">
        <f t="shared" ref="W178" si="43">GetCellName(B178)</f>
        <v>aEndenergiebedarfKuehlungBefeuchtungspezifisch2</v>
      </c>
      <c r="X178" s="988"/>
      <c r="Y178" s="1015">
        <v>1</v>
      </c>
    </row>
    <row r="179" spans="1:25" s="62" customFormat="1" ht="15" thickBot="1">
      <c r="A179" s="1057" t="s">
        <v>3242</v>
      </c>
      <c r="B179" s="1011">
        <v>0</v>
      </c>
      <c r="C179" s="1098"/>
      <c r="D179" s="1101" t="str">
        <f t="shared" si="41"/>
        <v>ok</v>
      </c>
      <c r="E179" s="608"/>
      <c r="H179" s="1075" t="s">
        <v>3059</v>
      </c>
      <c r="L179" s="726" t="s">
        <v>3230</v>
      </c>
      <c r="N179" s="983" t="s">
        <v>3096</v>
      </c>
      <c r="O179" s="984"/>
      <c r="P179" s="1087"/>
      <c r="Q179" s="1087" t="str">
        <f t="shared" si="42"/>
        <v>Endenergiebedarf-Trinkwarmwasser-spezifisch2</v>
      </c>
      <c r="R179" s="986"/>
      <c r="S179" s="1092" t="str">
        <f t="shared" si="23"/>
        <v>aEndenergiebedarfTrinkwarmwasserspezifisch2</v>
      </c>
      <c r="T179" s="1092" t="str">
        <f t="shared" si="24"/>
        <v/>
      </c>
      <c r="U179" s="986"/>
      <c r="V179" s="1082" t="str">
        <f t="shared" ref="V179" si="44">GetCellName(B179)</f>
        <v>aEndenergiebedarfTrinkwarmwasserspezifisch2</v>
      </c>
      <c r="W179" s="1007"/>
      <c r="X179" s="988"/>
      <c r="Y179" s="1015">
        <v>1</v>
      </c>
    </row>
    <row r="180" spans="1:25" s="62" customFormat="1" ht="15" thickBot="1">
      <c r="A180" s="1058" t="s">
        <v>3243</v>
      </c>
      <c r="B180" s="1097">
        <v>0</v>
      </c>
      <c r="C180" s="1098"/>
      <c r="D180" s="1101" t="str">
        <f t="shared" si="41"/>
        <v>ok</v>
      </c>
      <c r="E180" s="608"/>
      <c r="H180" s="1075" t="s">
        <v>3263</v>
      </c>
      <c r="L180" s="726" t="s">
        <v>3229</v>
      </c>
      <c r="N180" s="983" t="s">
        <v>3096</v>
      </c>
      <c r="O180" s="984"/>
      <c r="P180" s="1087"/>
      <c r="Q180" s="1087" t="str">
        <f t="shared" si="42"/>
        <v>Endenergiebedarf-Beleuchtung-spezifisch2</v>
      </c>
      <c r="R180" s="986"/>
      <c r="S180" s="1092" t="str">
        <f t="shared" ref="S180:S201" si="45">IF($V180="","",IF(GetValidatation($B180)=FALSE,$V180,""))</f>
        <v/>
      </c>
      <c r="T180" s="1092" t="str">
        <f t="shared" ref="T180:T201" si="46">IF($V180="","",IF(GetValidatation($B180)=TRUE,$V180,""))</f>
        <v/>
      </c>
      <c r="U180" s="986"/>
      <c r="V180" s="987"/>
      <c r="W180" s="1082" t="str">
        <f t="shared" ref="W180:W187" si="47">GetCellName(B180)</f>
        <v>aEndenergiebedarfBeleuchtungspezifisch2</v>
      </c>
      <c r="X180" s="988"/>
      <c r="Y180" s="1015">
        <v>1</v>
      </c>
    </row>
    <row r="181" spans="1:25" s="62" customFormat="1" ht="15" thickBot="1">
      <c r="A181" s="1058" t="s">
        <v>3247</v>
      </c>
      <c r="B181" s="1097">
        <v>0</v>
      </c>
      <c r="C181" s="1098"/>
      <c r="D181" s="1101" t="str">
        <f t="shared" si="41"/>
        <v>ok</v>
      </c>
      <c r="E181" s="608"/>
      <c r="H181" s="1075" t="s">
        <v>3263</v>
      </c>
      <c r="L181" s="726" t="s">
        <v>3228</v>
      </c>
      <c r="N181" s="983" t="s">
        <v>3096</v>
      </c>
      <c r="O181" s="984"/>
      <c r="P181" s="1087"/>
      <c r="Q181" s="1087" t="str">
        <f t="shared" si="42"/>
        <v>Endenergiebedarf-Lueftung-spezifisch2</v>
      </c>
      <c r="R181" s="986"/>
      <c r="S181" s="1092" t="str">
        <f t="shared" si="45"/>
        <v/>
      </c>
      <c r="T181" s="1092" t="str">
        <f t="shared" si="46"/>
        <v/>
      </c>
      <c r="U181" s="986"/>
      <c r="V181" s="987"/>
      <c r="W181" s="1082" t="str">
        <f t="shared" si="47"/>
        <v>aEndenergiebedarfLueftungspezifisch2</v>
      </c>
      <c r="X181" s="988"/>
      <c r="Y181" s="1015">
        <v>1</v>
      </c>
    </row>
    <row r="182" spans="1:25" s="62" customFormat="1" ht="15" thickBot="1">
      <c r="A182" s="1057" t="s">
        <v>3245</v>
      </c>
      <c r="B182" s="1099">
        <f>SUM(B177:B181)</f>
        <v>0</v>
      </c>
      <c r="C182" s="1098"/>
      <c r="D182" s="1101" t="str">
        <f t="shared" si="41"/>
        <v>ok</v>
      </c>
      <c r="E182" s="608"/>
      <c r="H182" s="1075" t="s">
        <v>3059</v>
      </c>
      <c r="L182" s="726" t="s">
        <v>3227</v>
      </c>
      <c r="N182" s="983" t="s">
        <v>3096</v>
      </c>
      <c r="O182" s="984"/>
      <c r="P182" s="1087"/>
      <c r="Q182" s="1087" t="str">
        <f t="shared" si="42"/>
        <v>Endenergiebedarf-Energietraeger-Gesamtgebaeude-spezifisch2</v>
      </c>
      <c r="R182" s="986"/>
      <c r="S182" s="1092" t="str">
        <f t="shared" si="45"/>
        <v/>
      </c>
      <c r="T182" s="1092" t="str">
        <f t="shared" si="46"/>
        <v/>
      </c>
      <c r="U182" s="986"/>
      <c r="V182" s="987"/>
      <c r="W182" s="1082" t="str">
        <f t="shared" si="47"/>
        <v>aEndenergiebedarfEnergietraegerGesamtgebaeudespezifisch2</v>
      </c>
      <c r="X182" s="988"/>
      <c r="Y182" s="1015">
        <v>1</v>
      </c>
    </row>
    <row r="183" spans="1:25" s="62" customFormat="1" ht="28.8">
      <c r="A183" s="1047" t="s">
        <v>3196</v>
      </c>
      <c r="B183" s="1014" t="str">
        <f ca="1">TEXT(Gebaeude!I220,"0,0")</f>
        <v>14,0</v>
      </c>
      <c r="C183" s="62" t="s">
        <v>3194</v>
      </c>
      <c r="D183" s="1101" t="str">
        <f ca="1">IF(AND(Y183=0,B183=""),"ok",Plausibilitaet(B183,N183))</f>
        <v>ok</v>
      </c>
      <c r="H183" s="1077"/>
      <c r="L183" s="726" t="s">
        <v>3097</v>
      </c>
      <c r="N183" s="983" t="s">
        <v>3098</v>
      </c>
      <c r="O183" s="984"/>
      <c r="P183" s="1087"/>
      <c r="Q183" s="1087" t="s">
        <v>3179</v>
      </c>
      <c r="R183" s="986"/>
      <c r="S183" s="1092" t="str">
        <f t="shared" si="45"/>
        <v/>
      </c>
      <c r="T183" s="1092" t="str">
        <f t="shared" si="46"/>
        <v/>
      </c>
      <c r="U183" s="986"/>
      <c r="V183" s="987"/>
      <c r="W183" s="1082" t="str">
        <f t="shared" si="47"/>
        <v>aEndenergiebedarfWaermeAN</v>
      </c>
      <c r="X183" s="988"/>
      <c r="Y183" s="1015">
        <v>1</v>
      </c>
    </row>
    <row r="184" spans="1:25" s="62" customFormat="1" ht="28.8">
      <c r="A184" s="1047" t="s">
        <v>3197</v>
      </c>
      <c r="B184" s="1014" t="str">
        <f ca="1">TEXT(Gebaeude!I221,"0,0")</f>
        <v>3,8</v>
      </c>
      <c r="C184" s="62" t="s">
        <v>3195</v>
      </c>
      <c r="D184" s="1101" t="str">
        <f ca="1">IF(AND(Y184=0,B184=""),"ok",Plausibilitaet(B184,N184))</f>
        <v>ok</v>
      </c>
      <c r="H184" s="1077"/>
      <c r="L184" s="726" t="s">
        <v>3069</v>
      </c>
      <c r="N184" s="983" t="s">
        <v>3098</v>
      </c>
      <c r="O184" s="984"/>
      <c r="P184" s="1087"/>
      <c r="Q184" s="1087" t="s">
        <v>3180</v>
      </c>
      <c r="R184" s="986"/>
      <c r="S184" s="1092" t="str">
        <f t="shared" si="45"/>
        <v/>
      </c>
      <c r="T184" s="1092" t="str">
        <f t="shared" si="46"/>
        <v/>
      </c>
      <c r="U184" s="986"/>
      <c r="V184" s="987"/>
      <c r="W184" s="1082" t="str">
        <f t="shared" si="47"/>
        <v>aEndenergiebedarfHilfsenergieAN</v>
      </c>
      <c r="X184" s="988"/>
      <c r="Y184" s="1015">
        <v>1</v>
      </c>
    </row>
    <row r="185" spans="1:25" s="62" customFormat="1" ht="15.6">
      <c r="A185" s="1047" t="s">
        <v>3099</v>
      </c>
      <c r="B185" s="1014" t="str">
        <f ca="1">TEXT(aEndenergiebedarfWaermeAN+aEndenergiebedarfHilfsenergieAN,"0,0")</f>
        <v>17,8</v>
      </c>
      <c r="C185" s="62" t="s">
        <v>3222</v>
      </c>
      <c r="D185" s="1101" t="str">
        <f ca="1">IF(AND(Y185=0,B185=""),"ok",Plausibilitaet(B185,N185))</f>
        <v>ok</v>
      </c>
      <c r="E185" s="608"/>
      <c r="H185" s="1075" t="s">
        <v>3059</v>
      </c>
      <c r="L185" s="726" t="s">
        <v>3101</v>
      </c>
      <c r="N185" s="983" t="s">
        <v>3098</v>
      </c>
      <c r="O185" s="984"/>
      <c r="P185" s="1087"/>
      <c r="Q185" s="1087" t="s">
        <v>3100</v>
      </c>
      <c r="R185" s="986"/>
      <c r="S185" s="1092" t="str">
        <f t="shared" si="45"/>
        <v/>
      </c>
      <c r="T185" s="1092" t="str">
        <f t="shared" si="46"/>
        <v/>
      </c>
      <c r="U185" s="986"/>
      <c r="V185" s="987"/>
      <c r="W185" s="1082" t="str">
        <f t="shared" si="47"/>
        <v>aEndenergiebedarfGesamt</v>
      </c>
      <c r="X185" s="988"/>
      <c r="Y185" s="1015">
        <v>1</v>
      </c>
    </row>
    <row r="186" spans="1:25" s="62" customFormat="1" ht="15.6">
      <c r="A186" s="1047" t="s">
        <v>3102</v>
      </c>
      <c r="B186" s="1014" t="str">
        <f ca="1">TEXT(zQP,"0,0")</f>
        <v>33,8</v>
      </c>
      <c r="C186" s="62" t="s">
        <v>3224</v>
      </c>
      <c r="D186" s="1101" t="str">
        <f ca="1">IF(AND(Y186=0,B186=""),"ok",Plausibilitaet(B186,N186))</f>
        <v>ok</v>
      </c>
      <c r="E186" s="608"/>
      <c r="H186" s="1075" t="s">
        <v>3103</v>
      </c>
      <c r="L186" s="726" t="s">
        <v>3090</v>
      </c>
      <c r="N186" s="983" t="s">
        <v>3096</v>
      </c>
      <c r="O186" s="984"/>
      <c r="P186" s="1087"/>
      <c r="Q186" s="1087" t="s">
        <v>2723</v>
      </c>
      <c r="R186" s="986"/>
      <c r="S186" s="1092" t="str">
        <f t="shared" si="45"/>
        <v/>
      </c>
      <c r="T186" s="1092" t="str">
        <f t="shared" si="46"/>
        <v/>
      </c>
      <c r="U186" s="986"/>
      <c r="V186" s="987"/>
      <c r="W186" s="1082" t="str">
        <f t="shared" si="47"/>
        <v>aPrimaerenergiebedarf</v>
      </c>
      <c r="X186" s="988"/>
      <c r="Y186" s="1015">
        <v>1</v>
      </c>
    </row>
    <row r="187" spans="1:25" s="62" customFormat="1" ht="15" thickBot="1">
      <c r="A187" s="1047" t="s">
        <v>945</v>
      </c>
      <c r="B187" s="1014" t="str">
        <f ca="1">Deckblatt!H20</f>
        <v>A+</v>
      </c>
      <c r="D187" s="1101" t="str">
        <f ca="1">IF(AND(Y187=0,B187=""),"ok",Plausibilitaet(B187,N187))</f>
        <v>ok</v>
      </c>
      <c r="H187" s="1077"/>
      <c r="L187" s="726" t="s">
        <v>1035</v>
      </c>
      <c r="N187" s="1002" t="s">
        <v>1036</v>
      </c>
      <c r="O187" s="984"/>
      <c r="P187" s="1087"/>
      <c r="Q187" s="1087" t="s">
        <v>945</v>
      </c>
      <c r="R187" s="986"/>
      <c r="S187" s="1092" t="str">
        <f t="shared" si="45"/>
        <v/>
      </c>
      <c r="T187" s="1092" t="str">
        <f t="shared" si="46"/>
        <v/>
      </c>
      <c r="U187" s="986"/>
      <c r="V187" s="987"/>
      <c r="W187" s="1082" t="str">
        <f t="shared" si="47"/>
        <v>aEnergieeffizienzklasse</v>
      </c>
      <c r="X187" s="988"/>
      <c r="Y187" s="1015">
        <v>1</v>
      </c>
    </row>
    <row r="188" spans="1:25" s="62" customFormat="1" ht="15" thickBot="1">
      <c r="A188" s="1047" t="s">
        <v>3105</v>
      </c>
      <c r="B188" s="1107" t="s">
        <v>3265</v>
      </c>
      <c r="D188" s="1101" t="str">
        <f>IF(AND(Y188=0,B188=""),"ok",IF(ISERROR(MATCH(B188,$G$301:$G$312,0)),"Angabe fehlt","ok"))</f>
        <v>ok</v>
      </c>
      <c r="E188" s="608"/>
      <c r="H188" s="1075" t="s">
        <v>3103</v>
      </c>
      <c r="L188" s="726" t="s">
        <v>3106</v>
      </c>
      <c r="N188" s="1007" t="s">
        <v>1010</v>
      </c>
      <c r="O188" s="984"/>
      <c r="P188" s="1087"/>
      <c r="Q188" s="1087" t="s">
        <v>3104</v>
      </c>
      <c r="R188" s="986"/>
      <c r="S188" s="1092" t="str">
        <f t="shared" si="45"/>
        <v/>
      </c>
      <c r="T188" s="1092" t="str">
        <f t="shared" si="46"/>
        <v>aArtderNutzungerneuerbarenEnergie1</v>
      </c>
      <c r="U188" s="986"/>
      <c r="V188" s="1082" t="str">
        <f t="shared" ref="V188:V197" si="48">GetCellName(B188)</f>
        <v>aArtderNutzungerneuerbarenEnergie1</v>
      </c>
      <c r="W188" s="988"/>
      <c r="X188" s="1084" t="s">
        <v>3249</v>
      </c>
      <c r="Y188" s="1015">
        <v>1</v>
      </c>
    </row>
    <row r="189" spans="1:25" s="1060" customFormat="1" ht="15" thickBot="1">
      <c r="A189" s="1059" t="s">
        <v>1075</v>
      </c>
      <c r="B189" s="1011">
        <v>20</v>
      </c>
      <c r="C189" s="62"/>
      <c r="D189" s="1104" t="str">
        <f>IF(AND(Y189=0,B189=""),"ok",Plausibilitaet(B189,N189))</f>
        <v>ok</v>
      </c>
      <c r="H189" s="1078"/>
      <c r="L189" s="1073" t="s">
        <v>3107</v>
      </c>
      <c r="N189" s="1061" t="s">
        <v>2762</v>
      </c>
      <c r="O189" s="1062"/>
      <c r="P189" s="1091"/>
      <c r="Q189" s="1091" t="s">
        <v>947</v>
      </c>
      <c r="R189" s="1063"/>
      <c r="S189" s="1092" t="str">
        <f t="shared" si="45"/>
        <v>aDeckungsanteil1</v>
      </c>
      <c r="T189" s="1092" t="str">
        <f t="shared" si="46"/>
        <v/>
      </c>
      <c r="U189" s="1063"/>
      <c r="V189" s="1082" t="str">
        <f t="shared" si="48"/>
        <v>aDeckungsanteil1</v>
      </c>
      <c r="W189" s="1064"/>
      <c r="X189" s="1064"/>
      <c r="Y189" s="1065">
        <v>1</v>
      </c>
    </row>
    <row r="190" spans="1:25" s="1060" customFormat="1" ht="15" thickBot="1">
      <c r="A190" s="1059" t="s">
        <v>3109</v>
      </c>
      <c r="B190" s="1011">
        <v>100</v>
      </c>
      <c r="C190" s="62"/>
      <c r="D190" s="1104" t="str">
        <f>IF(AND(Y190=0,B190=""),"ok",Plausibilitaet(B190,N190))</f>
        <v>ok</v>
      </c>
      <c r="H190" s="1078"/>
      <c r="L190" s="1073" t="s">
        <v>3114</v>
      </c>
      <c r="N190" s="1061" t="s">
        <v>2762</v>
      </c>
      <c r="O190" s="1062"/>
      <c r="P190" s="1091"/>
      <c r="Q190" s="1091" t="s">
        <v>3108</v>
      </c>
      <c r="R190" s="1063"/>
      <c r="S190" s="1092" t="str">
        <f t="shared" si="45"/>
        <v>aAnteilderPflichterfuellung1</v>
      </c>
      <c r="T190" s="1092" t="str">
        <f t="shared" si="46"/>
        <v/>
      </c>
      <c r="U190" s="1063"/>
      <c r="V190" s="1082" t="str">
        <f t="shared" si="48"/>
        <v>aAnteilderPflichterfuellung1</v>
      </c>
      <c r="W190" s="1064"/>
      <c r="X190" s="1064"/>
      <c r="Y190" s="1065">
        <v>1</v>
      </c>
    </row>
    <row r="191" spans="1:25" s="62" customFormat="1" ht="15" thickBot="1">
      <c r="A191" s="1047" t="s">
        <v>3112</v>
      </c>
      <c r="B191" s="1107" t="s">
        <v>3265</v>
      </c>
      <c r="D191" s="1101" t="str">
        <f>IF(AND(Y191=0,B191=""),"ok",IF(ISERROR(MATCH(B191,$G$301:$G$312,0)),"Angabe fehlt","ok"))</f>
        <v>ok</v>
      </c>
      <c r="E191" s="608"/>
      <c r="H191" s="1075" t="s">
        <v>3103</v>
      </c>
      <c r="L191" s="726" t="s">
        <v>3115</v>
      </c>
      <c r="N191" s="1007" t="s">
        <v>1010</v>
      </c>
      <c r="O191" s="984"/>
      <c r="P191" s="1087"/>
      <c r="Q191" s="1087" t="s">
        <v>3113</v>
      </c>
      <c r="R191" s="986"/>
      <c r="S191" s="1092" t="str">
        <f t="shared" si="45"/>
        <v/>
      </c>
      <c r="T191" s="1092" t="str">
        <f t="shared" si="46"/>
        <v>aArtderNutzungerneuerbarenEnergie2</v>
      </c>
      <c r="U191" s="986"/>
      <c r="V191" s="1082" t="str">
        <f t="shared" si="48"/>
        <v>aArtderNutzungerneuerbarenEnergie2</v>
      </c>
      <c r="W191" s="988"/>
      <c r="X191" s="1084" t="s">
        <v>3249</v>
      </c>
      <c r="Y191" s="1015">
        <v>1</v>
      </c>
    </row>
    <row r="192" spans="1:25" s="1060" customFormat="1" ht="15" thickBot="1">
      <c r="A192" s="1059" t="s">
        <v>1076</v>
      </c>
      <c r="B192" s="1011">
        <v>0</v>
      </c>
      <c r="D192" s="1104" t="str">
        <f>IF(AND(Y192=0,B192=""),"ok",Plausibilitaet(B192,N192))</f>
        <v>ok</v>
      </c>
      <c r="H192" s="1078"/>
      <c r="L192" s="1073" t="s">
        <v>3116</v>
      </c>
      <c r="N192" s="1061" t="s">
        <v>2762</v>
      </c>
      <c r="O192" s="1062"/>
      <c r="P192" s="1091"/>
      <c r="Q192" s="1091" t="s">
        <v>948</v>
      </c>
      <c r="R192" s="1063"/>
      <c r="S192" s="1092" t="str">
        <f t="shared" si="45"/>
        <v>aDeckungsanteil2</v>
      </c>
      <c r="T192" s="1092" t="str">
        <f t="shared" si="46"/>
        <v/>
      </c>
      <c r="U192" s="1063"/>
      <c r="V192" s="1082" t="str">
        <f t="shared" si="48"/>
        <v>aDeckungsanteil2</v>
      </c>
      <c r="W192" s="1066"/>
      <c r="X192" s="1064"/>
      <c r="Y192" s="1065">
        <v>1</v>
      </c>
    </row>
    <row r="193" spans="1:25" s="1060" customFormat="1" ht="15" thickBot="1">
      <c r="A193" s="1059" t="s">
        <v>3110</v>
      </c>
      <c r="B193" s="1011">
        <v>0</v>
      </c>
      <c r="D193" s="1104" t="str">
        <f>IF(AND(Y193=0,B193=""),"ok",Plausibilitaet(B193,N193))</f>
        <v>ok</v>
      </c>
      <c r="H193" s="1078"/>
      <c r="L193" s="1073" t="s">
        <v>3117</v>
      </c>
      <c r="N193" s="1061" t="s">
        <v>2762</v>
      </c>
      <c r="O193" s="1062"/>
      <c r="P193" s="1091"/>
      <c r="Q193" s="1091" t="s">
        <v>3111</v>
      </c>
      <c r="R193" s="1063"/>
      <c r="S193" s="1092" t="str">
        <f t="shared" si="45"/>
        <v>aAnteilderPflichterfuellung2</v>
      </c>
      <c r="T193" s="1092" t="str">
        <f t="shared" si="46"/>
        <v/>
      </c>
      <c r="U193" s="1063"/>
      <c r="V193" s="1082" t="str">
        <f t="shared" si="48"/>
        <v>aAnteilderPflichterfuellung2</v>
      </c>
      <c r="W193" s="1064"/>
      <c r="X193" s="1064"/>
      <c r="Y193" s="1065">
        <v>1</v>
      </c>
    </row>
    <row r="194" spans="1:25" s="62" customFormat="1" ht="15" thickBot="1">
      <c r="A194" s="1047" t="s">
        <v>3120</v>
      </c>
      <c r="B194" s="1107" t="s">
        <v>811</v>
      </c>
      <c r="D194" s="1101" t="str">
        <f t="shared" ref="D194:D197" si="49">IF(AND(Y194=0,B194=""),"ok",Plausibilitaet(B194,N194))</f>
        <v>ok</v>
      </c>
      <c r="E194" s="608"/>
      <c r="H194" s="1075" t="s">
        <v>3103</v>
      </c>
      <c r="L194" s="726" t="s">
        <v>3119</v>
      </c>
      <c r="N194" s="1007" t="s">
        <v>1028</v>
      </c>
      <c r="O194" s="984"/>
      <c r="P194" s="1087"/>
      <c r="Q194" s="1087" t="s">
        <v>3118</v>
      </c>
      <c r="R194" s="986"/>
      <c r="S194" s="1092" t="str">
        <f t="shared" si="45"/>
        <v/>
      </c>
      <c r="T194" s="1092" t="str">
        <f t="shared" si="46"/>
        <v>averschaerftnachGEG45eingehalten</v>
      </c>
      <c r="U194" s="986"/>
      <c r="V194" s="1082" t="str">
        <f t="shared" si="48"/>
        <v>averschaerftnachGEG45eingehalten</v>
      </c>
      <c r="W194" s="988"/>
      <c r="X194" s="1084" t="s">
        <v>3249</v>
      </c>
      <c r="Y194" s="1015">
        <v>1</v>
      </c>
    </row>
    <row r="195" spans="1:25" s="62" customFormat="1" ht="15" thickBot="1">
      <c r="A195" s="1047" t="s">
        <v>3122</v>
      </c>
      <c r="B195" s="1107" t="s">
        <v>811</v>
      </c>
      <c r="D195" s="1101" t="str">
        <f t="shared" si="49"/>
        <v>ok</v>
      </c>
      <c r="E195" s="608"/>
      <c r="H195" s="1075" t="s">
        <v>3103</v>
      </c>
      <c r="L195" s="726" t="s">
        <v>3123</v>
      </c>
      <c r="N195" s="1007" t="s">
        <v>1028</v>
      </c>
      <c r="O195" s="984"/>
      <c r="P195" s="1087"/>
      <c r="Q195" s="1087" t="s">
        <v>3121</v>
      </c>
      <c r="R195" s="986"/>
      <c r="S195" s="1092" t="str">
        <f t="shared" si="45"/>
        <v/>
      </c>
      <c r="T195" s="1092" t="str">
        <f t="shared" si="46"/>
        <v>anichtverschaerftnachGEG34</v>
      </c>
      <c r="U195" s="986"/>
      <c r="V195" s="1082" t="str">
        <f t="shared" si="48"/>
        <v>anichtverschaerftnachGEG34</v>
      </c>
      <c r="W195" s="988"/>
      <c r="X195" s="1093"/>
      <c r="Y195" s="1015">
        <v>1</v>
      </c>
    </row>
    <row r="196" spans="1:25" s="62" customFormat="1" ht="28.2" thickBot="1">
      <c r="A196" s="1047" t="s">
        <v>3079</v>
      </c>
      <c r="B196" s="1044" t="s">
        <v>2770</v>
      </c>
      <c r="D196" s="1101" t="str">
        <f t="shared" si="49"/>
        <v>ok</v>
      </c>
      <c r="H196" s="1074"/>
      <c r="L196" s="726" t="s">
        <v>3124</v>
      </c>
      <c r="N196" s="983" t="s">
        <v>2757</v>
      </c>
      <c r="O196" s="984"/>
      <c r="P196" s="1087"/>
      <c r="Q196" s="1087" t="s">
        <v>3125</v>
      </c>
      <c r="R196" s="986"/>
      <c r="S196" s="1092" t="str">
        <f t="shared" si="45"/>
        <v>aspezifischerTransmissionswaermeverlustverschaerft</v>
      </c>
      <c r="T196" s="1092" t="str">
        <f t="shared" si="46"/>
        <v/>
      </c>
      <c r="U196" s="986"/>
      <c r="V196" s="1082" t="str">
        <f t="shared" si="48"/>
        <v>aspezifischerTransmissionswaermeverlustverschaerft</v>
      </c>
      <c r="W196" s="988"/>
      <c r="X196" s="1084" t="s">
        <v>3249</v>
      </c>
      <c r="Y196" s="1015">
        <v>1</v>
      </c>
    </row>
    <row r="197" spans="1:25" s="62" customFormat="1" ht="15" thickBot="1">
      <c r="A197" s="1047" t="s">
        <v>1077</v>
      </c>
      <c r="B197" s="1046" t="s">
        <v>798</v>
      </c>
      <c r="D197" s="1101" t="str">
        <f t="shared" si="49"/>
        <v>ok</v>
      </c>
      <c r="H197" s="1074"/>
      <c r="L197" s="726" t="s">
        <v>1027</v>
      </c>
      <c r="N197" s="1007" t="s">
        <v>1028</v>
      </c>
      <c r="O197" s="984"/>
      <c r="P197" s="1087"/>
      <c r="Q197" s="1087" t="s">
        <v>949</v>
      </c>
      <c r="R197" s="985"/>
      <c r="S197" s="1092" t="str">
        <f t="shared" si="45"/>
        <v/>
      </c>
      <c r="T197" s="1092" t="str">
        <f t="shared" si="46"/>
        <v>aSommerlicherWaermeschutz</v>
      </c>
      <c r="U197" s="985"/>
      <c r="V197" s="1082" t="str">
        <f t="shared" si="48"/>
        <v>aSommerlicherWaermeschutz</v>
      </c>
      <c r="W197" s="988"/>
      <c r="X197" s="1084" t="s">
        <v>3249</v>
      </c>
      <c r="Y197" s="1015">
        <v>1</v>
      </c>
    </row>
    <row r="198" spans="1:25" s="62" customFormat="1" ht="17.399999999999999" customHeight="1" thickBot="1">
      <c r="A198" s="990" t="s">
        <v>2645</v>
      </c>
      <c r="B198" s="991"/>
      <c r="C198" s="992"/>
      <c r="D198" s="993" t="str">
        <f>IF(COUNTA(D199:D211)=COUNTIF(D199:D211,"ok"),$W$1,"Fehler im Bereich "&amp;A198)</f>
        <v>Prüfung Format: ok</v>
      </c>
      <c r="E198" s="992"/>
      <c r="F198" s="992"/>
      <c r="G198" s="992"/>
      <c r="H198" s="992"/>
      <c r="I198" s="1"/>
      <c r="J198" s="122">
        <f>ROW(A199)</f>
        <v>199</v>
      </c>
      <c r="K198" s="122">
        <f>ROW(A201)</f>
        <v>201</v>
      </c>
      <c r="L198" s="46"/>
      <c r="M198" s="122"/>
      <c r="N198" s="1008"/>
      <c r="O198" s="984"/>
      <c r="P198" s="1087"/>
      <c r="Q198" s="1087"/>
      <c r="R198" s="985"/>
      <c r="S198" s="1092" t="str">
        <f t="shared" si="45"/>
        <v/>
      </c>
      <c r="T198" s="1092" t="str">
        <f t="shared" si="46"/>
        <v/>
      </c>
      <c r="U198" s="985"/>
      <c r="V198" s="987"/>
      <c r="W198" s="988"/>
      <c r="X198" s="988"/>
      <c r="Y198" s="988"/>
    </row>
    <row r="199" spans="1:25" s="62" customFormat="1">
      <c r="A199" s="702" t="s">
        <v>1029</v>
      </c>
      <c r="B199" s="1100" t="s">
        <v>798</v>
      </c>
      <c r="C199" s="608" t="s">
        <v>3259</v>
      </c>
      <c r="D199" s="996" t="str">
        <f t="shared" ref="D199:D201" si="50">Plausibilitaet(B199,N199)</f>
        <v>ok</v>
      </c>
      <c r="L199" s="46" t="s">
        <v>1062</v>
      </c>
      <c r="N199" s="1007" t="s">
        <v>1028</v>
      </c>
      <c r="O199" s="984"/>
      <c r="P199" s="1087"/>
      <c r="Q199" s="1087" t="s">
        <v>950</v>
      </c>
      <c r="R199" s="986"/>
      <c r="S199" s="1092" t="str">
        <f t="shared" si="45"/>
        <v/>
      </c>
      <c r="T199" s="1092" t="str">
        <f t="shared" si="46"/>
        <v/>
      </c>
      <c r="U199" s="986"/>
      <c r="V199" s="987"/>
      <c r="W199" s="1082" t="str">
        <f t="shared" ref="W199:W201" si="51">GetCellName(B199)</f>
        <v>aEmpfehlungenmoeglich</v>
      </c>
      <c r="X199" s="988"/>
      <c r="Y199" s="988"/>
    </row>
    <row r="200" spans="1:25" s="62" customFormat="1" ht="27.6">
      <c r="A200" s="1048" t="s">
        <v>3252</v>
      </c>
      <c r="B200" s="1014" t="s">
        <v>811</v>
      </c>
      <c r="C200" s="608" t="s">
        <v>3261</v>
      </c>
      <c r="D200" s="996" t="str">
        <f t="shared" si="50"/>
        <v>ok</v>
      </c>
      <c r="L200" s="46" t="s">
        <v>3251</v>
      </c>
      <c r="N200" s="1007" t="s">
        <v>1028</v>
      </c>
      <c r="O200" s="984"/>
      <c r="P200" s="1087"/>
      <c r="Q200" s="1087" t="s">
        <v>3250</v>
      </c>
      <c r="R200" s="986"/>
      <c r="S200" s="1092" t="str">
        <f t="shared" si="45"/>
        <v/>
      </c>
      <c r="T200" s="1092" t="str">
        <f t="shared" si="46"/>
        <v/>
      </c>
      <c r="U200" s="986"/>
      <c r="V200" s="987"/>
      <c r="W200" s="1082" t="str">
        <f t="shared" si="51"/>
        <v>aKeineModernisierungErweiterungVorhaben</v>
      </c>
      <c r="X200" s="988"/>
      <c r="Y200" s="988"/>
    </row>
    <row r="201" spans="1:25" s="62" customFormat="1">
      <c r="A201" s="702" t="s">
        <v>1030</v>
      </c>
      <c r="B201" s="120" t="s">
        <v>3473</v>
      </c>
      <c r="D201" s="996" t="str">
        <f t="shared" si="50"/>
        <v>ok</v>
      </c>
      <c r="L201" s="46" t="s">
        <v>1063</v>
      </c>
      <c r="N201" s="1007" t="s">
        <v>883</v>
      </c>
      <c r="O201" s="984"/>
      <c r="P201" s="1087"/>
      <c r="Q201" s="1087" t="s">
        <v>951</v>
      </c>
      <c r="R201" s="986"/>
      <c r="S201" s="1092" t="str">
        <f t="shared" si="45"/>
        <v/>
      </c>
      <c r="T201" s="1092" t="str">
        <f t="shared" si="46"/>
        <v/>
      </c>
      <c r="U201" s="986"/>
      <c r="V201" s="987"/>
      <c r="W201" s="1082" t="str">
        <f t="shared" si="51"/>
        <v>aSoftwareherstellerProgrammVersion</v>
      </c>
      <c r="X201" s="988"/>
      <c r="Y201" s="988"/>
    </row>
    <row r="202" spans="1:25" s="727" customFormat="1">
      <c r="A202" s="950"/>
      <c r="B202" s="981"/>
      <c r="L202" s="726"/>
      <c r="N202" s="839"/>
      <c r="O202" s="951"/>
      <c r="P202" s="982"/>
      <c r="Q202" s="952"/>
      <c r="R202" s="952"/>
      <c r="S202" s="952"/>
      <c r="T202" s="952"/>
      <c r="U202" s="952"/>
      <c r="V202" s="987"/>
      <c r="W202" s="840"/>
      <c r="X202" s="840"/>
      <c r="Y202" s="840"/>
    </row>
    <row r="203" spans="1:25" customFormat="1">
      <c r="A203" s="702"/>
      <c r="B203" s="730"/>
      <c r="C203" s="62"/>
      <c r="D203" s="62"/>
      <c r="E203" s="62"/>
      <c r="F203" s="62"/>
      <c r="G203" s="62"/>
      <c r="H203" s="62"/>
      <c r="L203" s="37"/>
      <c r="N203" s="839"/>
      <c r="O203" s="142"/>
      <c r="P203" s="144"/>
      <c r="Q203" s="144"/>
      <c r="R203" s="145"/>
      <c r="S203" s="145"/>
      <c r="T203" s="145"/>
      <c r="U203" s="145"/>
      <c r="V203" s="987"/>
      <c r="W203" s="137"/>
      <c r="X203" s="137"/>
      <c r="Y203" s="137"/>
    </row>
    <row r="204" spans="1:25" customFormat="1">
      <c r="A204" s="702"/>
      <c r="B204" s="730"/>
      <c r="C204" s="62"/>
      <c r="D204" s="62"/>
      <c r="E204" s="62"/>
      <c r="F204" s="62"/>
      <c r="G204" s="62"/>
      <c r="H204" s="62"/>
      <c r="L204" s="37"/>
      <c r="N204" s="839"/>
      <c r="O204" s="142"/>
      <c r="P204" s="144"/>
      <c r="Q204" s="144"/>
      <c r="R204" s="145"/>
      <c r="S204" s="145"/>
      <c r="T204" s="145"/>
      <c r="U204" s="145"/>
      <c r="V204" s="139"/>
      <c r="W204" s="137"/>
      <c r="X204" s="137"/>
      <c r="Y204" s="137"/>
    </row>
    <row r="205" spans="1:25" customFormat="1">
      <c r="A205" s="702"/>
      <c r="B205" s="730"/>
      <c r="C205" s="62"/>
      <c r="D205" s="62"/>
      <c r="E205" s="62"/>
      <c r="F205" s="62"/>
      <c r="G205" s="62"/>
      <c r="H205" s="62"/>
      <c r="L205" s="37"/>
      <c r="N205" s="839"/>
      <c r="O205" s="142"/>
      <c r="P205" s="144"/>
      <c r="Q205" s="144"/>
      <c r="R205" s="145"/>
      <c r="S205" s="145"/>
      <c r="T205" s="145"/>
      <c r="U205" s="145"/>
      <c r="V205" s="139"/>
      <c r="W205" s="137"/>
      <c r="X205" s="137"/>
      <c r="Y205" s="137"/>
    </row>
    <row r="206" spans="1:25" customFormat="1">
      <c r="A206" s="702"/>
      <c r="B206" s="730"/>
      <c r="C206" s="62"/>
      <c r="D206" s="62"/>
      <c r="E206" s="62"/>
      <c r="F206" s="62"/>
      <c r="G206" s="62"/>
      <c r="H206" s="62"/>
      <c r="L206" s="37"/>
      <c r="N206" s="839"/>
      <c r="O206" s="142"/>
      <c r="P206" s="144"/>
      <c r="Q206" s="144"/>
      <c r="R206" s="145"/>
      <c r="S206" s="145"/>
      <c r="T206" s="145"/>
      <c r="U206" s="145"/>
      <c r="V206" s="139"/>
      <c r="W206" s="137"/>
      <c r="X206" s="137"/>
      <c r="Y206" s="137"/>
    </row>
    <row r="207" spans="1:25" customFormat="1">
      <c r="A207" s="702"/>
      <c r="B207" s="730"/>
      <c r="C207" s="62"/>
      <c r="D207" s="62"/>
      <c r="E207" s="62"/>
      <c r="F207" s="62"/>
      <c r="G207" s="62"/>
      <c r="H207" s="62"/>
      <c r="L207" s="37"/>
      <c r="N207" s="839"/>
      <c r="O207" s="142"/>
      <c r="P207" s="144"/>
      <c r="Q207" s="144"/>
      <c r="R207" s="145"/>
      <c r="S207" s="145"/>
      <c r="T207" s="145"/>
      <c r="U207" s="145"/>
      <c r="V207" s="139"/>
      <c r="W207" s="137"/>
      <c r="X207" s="137"/>
      <c r="Y207" s="137"/>
    </row>
    <row r="208" spans="1:25" customFormat="1">
      <c r="A208" s="702"/>
      <c r="B208" s="731" t="s">
        <v>825</v>
      </c>
      <c r="C208" s="62"/>
      <c r="D208" s="62"/>
      <c r="E208" s="62"/>
      <c r="F208" s="62"/>
      <c r="G208" s="62"/>
      <c r="H208" s="62"/>
      <c r="L208" s="37"/>
      <c r="N208" s="839"/>
      <c r="O208" s="142"/>
      <c r="P208" s="144"/>
      <c r="Q208" s="144"/>
      <c r="R208" s="145"/>
      <c r="S208" s="145"/>
      <c r="T208" s="145"/>
      <c r="U208" s="145"/>
      <c r="V208" s="139"/>
      <c r="W208" s="137"/>
      <c r="X208" s="137"/>
      <c r="Y208" s="137"/>
    </row>
    <row r="209" spans="1:25" customFormat="1">
      <c r="A209" s="702"/>
      <c r="B209" s="731" t="s">
        <v>825</v>
      </c>
      <c r="C209" s="62"/>
      <c r="D209" s="62"/>
      <c r="E209" s="62"/>
      <c r="F209" s="62"/>
      <c r="G209" s="62"/>
      <c r="H209" s="62"/>
      <c r="L209" s="37"/>
      <c r="N209" s="839"/>
      <c r="O209" s="142"/>
      <c r="P209" s="144"/>
      <c r="Q209" s="144"/>
      <c r="R209" s="145"/>
      <c r="S209" s="145"/>
      <c r="T209" s="145"/>
      <c r="U209" s="145"/>
      <c r="V209" s="139"/>
      <c r="W209" s="137"/>
      <c r="X209" s="137"/>
      <c r="Y209" s="137"/>
    </row>
    <row r="210" spans="1:25" customFormat="1">
      <c r="A210" s="841"/>
      <c r="B210" s="730"/>
      <c r="C210" s="62"/>
      <c r="D210" s="62"/>
      <c r="E210" s="62"/>
      <c r="F210" s="62"/>
      <c r="G210" s="62"/>
      <c r="H210" s="62"/>
      <c r="L210" s="37"/>
      <c r="N210" s="839"/>
      <c r="O210" s="142"/>
      <c r="P210" s="144"/>
      <c r="Q210" s="144"/>
      <c r="R210" s="145"/>
      <c r="S210" s="145"/>
      <c r="T210" s="145"/>
      <c r="U210" s="145"/>
      <c r="V210" s="139"/>
      <c r="W210" s="137"/>
      <c r="X210" s="137"/>
      <c r="Y210" s="137"/>
    </row>
    <row r="211" spans="1:25" customFormat="1">
      <c r="A211" s="702"/>
      <c r="B211" s="731" t="s">
        <v>825</v>
      </c>
      <c r="C211" s="62"/>
      <c r="D211" s="62"/>
      <c r="E211" s="62"/>
      <c r="F211" s="62"/>
      <c r="G211" s="62"/>
      <c r="H211" s="62"/>
      <c r="L211" s="37"/>
      <c r="N211" s="839"/>
      <c r="O211" s="142"/>
      <c r="P211" s="144"/>
      <c r="Q211" s="144"/>
      <c r="R211" s="145"/>
      <c r="S211" s="145"/>
      <c r="T211" s="145"/>
      <c r="U211" s="145"/>
      <c r="V211" s="139"/>
      <c r="W211" s="137"/>
      <c r="X211" s="137"/>
      <c r="Y211" s="137"/>
    </row>
    <row r="212" spans="1:25" customFormat="1">
      <c r="A212" s="841"/>
      <c r="B212" s="730"/>
      <c r="C212" s="62"/>
      <c r="D212" s="62"/>
      <c r="E212" s="62"/>
      <c r="F212" s="62"/>
      <c r="G212" s="62"/>
      <c r="H212" s="62"/>
      <c r="L212" s="37"/>
      <c r="N212" s="839"/>
      <c r="O212" s="142"/>
      <c r="P212" s="144"/>
      <c r="Q212" s="144"/>
      <c r="R212" s="145"/>
      <c r="S212" s="145"/>
      <c r="T212" s="145"/>
      <c r="U212" s="145"/>
      <c r="V212" s="139"/>
      <c r="W212" s="137"/>
      <c r="X212" s="137"/>
      <c r="Y212" s="137"/>
    </row>
    <row r="213" spans="1:25" customFormat="1">
      <c r="A213" s="702"/>
      <c r="B213" s="731" t="s">
        <v>825</v>
      </c>
      <c r="C213" s="62"/>
      <c r="D213" s="62"/>
      <c r="E213" s="62"/>
      <c r="F213" s="62"/>
      <c r="G213" s="62"/>
      <c r="H213" s="62"/>
      <c r="L213" s="37"/>
      <c r="N213" s="839"/>
      <c r="O213" s="142"/>
      <c r="P213" s="144"/>
      <c r="Q213" s="144"/>
      <c r="R213" s="145"/>
      <c r="S213" s="145"/>
      <c r="T213" s="145"/>
      <c r="U213" s="145"/>
      <c r="V213" s="139"/>
      <c r="W213" s="137"/>
      <c r="X213" s="137"/>
      <c r="Y213" s="137"/>
    </row>
    <row r="214" spans="1:25" customFormat="1">
      <c r="A214" s="841"/>
      <c r="B214" s="730"/>
      <c r="C214" s="62"/>
      <c r="D214" s="62"/>
      <c r="E214" s="62"/>
      <c r="F214" s="62"/>
      <c r="G214" s="62"/>
      <c r="H214" s="62"/>
      <c r="L214" s="37"/>
      <c r="N214" s="839"/>
      <c r="O214" s="142"/>
      <c r="P214" s="144"/>
      <c r="Q214" s="144"/>
      <c r="R214" s="145"/>
      <c r="S214" s="145"/>
      <c r="T214" s="145"/>
      <c r="U214" s="145"/>
      <c r="V214" s="139"/>
      <c r="W214" s="137"/>
      <c r="X214" s="137"/>
      <c r="Y214" s="137"/>
    </row>
    <row r="215" spans="1:25" customFormat="1">
      <c r="A215" s="702"/>
      <c r="B215" s="731" t="s">
        <v>825</v>
      </c>
      <c r="C215" s="62"/>
      <c r="D215" s="62"/>
      <c r="E215" s="62"/>
      <c r="F215" s="62"/>
      <c r="G215" s="62"/>
      <c r="H215" s="62"/>
      <c r="L215" s="37"/>
      <c r="N215" s="839"/>
      <c r="O215" s="142"/>
      <c r="P215" s="144"/>
      <c r="Q215" s="144"/>
      <c r="R215" s="145"/>
      <c r="S215" s="145"/>
      <c r="T215" s="145"/>
      <c r="U215" s="145"/>
      <c r="V215" s="139"/>
      <c r="W215" s="137"/>
      <c r="X215" s="137"/>
      <c r="Y215" s="137"/>
    </row>
    <row r="216" spans="1:25" customFormat="1">
      <c r="A216" s="841"/>
      <c r="B216" s="730"/>
      <c r="C216" s="62"/>
      <c r="D216" s="62"/>
      <c r="E216" s="62"/>
      <c r="F216" s="62"/>
      <c r="G216" s="62"/>
      <c r="H216" s="62"/>
      <c r="L216" s="37"/>
      <c r="N216" s="839"/>
      <c r="O216" s="142"/>
      <c r="P216" s="144"/>
      <c r="Q216" s="144"/>
      <c r="R216" s="145"/>
      <c r="S216" s="145"/>
      <c r="T216" s="145"/>
      <c r="U216" s="145"/>
      <c r="V216" s="139"/>
      <c r="W216" s="137"/>
      <c r="X216" s="137"/>
      <c r="Y216" s="137"/>
    </row>
    <row r="217" spans="1:25" customFormat="1">
      <c r="A217" s="702"/>
      <c r="B217" s="731"/>
      <c r="C217" s="62"/>
      <c r="D217" s="62"/>
      <c r="E217" s="62"/>
      <c r="F217" s="62"/>
      <c r="G217" s="62"/>
      <c r="H217" s="62"/>
      <c r="L217" s="37"/>
      <c r="N217" s="839"/>
      <c r="O217" s="142"/>
      <c r="P217" s="144"/>
      <c r="Q217" s="144"/>
      <c r="R217" s="145"/>
      <c r="S217" s="145"/>
      <c r="T217" s="145"/>
      <c r="U217" s="145"/>
      <c r="V217" s="139"/>
      <c r="W217" s="137"/>
      <c r="X217" s="137"/>
      <c r="Y217" s="137"/>
    </row>
    <row r="218" spans="1:25" customFormat="1">
      <c r="A218" s="702"/>
      <c r="B218" s="730"/>
      <c r="C218" s="62"/>
      <c r="D218" s="62"/>
      <c r="E218" s="62"/>
      <c r="F218" s="62"/>
      <c r="G218" s="62"/>
      <c r="H218" s="62"/>
      <c r="L218" s="37"/>
      <c r="N218" s="839"/>
      <c r="O218" s="142"/>
      <c r="P218" s="144"/>
      <c r="Q218" s="144"/>
      <c r="R218" s="145"/>
      <c r="S218" s="145"/>
      <c r="T218" s="145"/>
      <c r="U218" s="145"/>
      <c r="V218" s="139"/>
      <c r="W218" s="137"/>
      <c r="X218" s="137"/>
      <c r="Y218" s="137"/>
    </row>
    <row r="219" spans="1:25" customFormat="1">
      <c r="A219" s="702"/>
      <c r="B219" s="731"/>
      <c r="C219" s="62"/>
      <c r="D219" s="62"/>
      <c r="E219" s="62"/>
      <c r="F219" s="62"/>
      <c r="G219" s="62"/>
      <c r="H219" s="62"/>
      <c r="L219" s="37"/>
      <c r="N219" s="839"/>
      <c r="O219" s="142"/>
      <c r="P219" s="144"/>
      <c r="Q219" s="144"/>
      <c r="R219" s="145"/>
      <c r="S219" s="145"/>
      <c r="T219" s="145"/>
      <c r="U219" s="145"/>
      <c r="V219" s="139"/>
      <c r="W219" s="137"/>
      <c r="X219" s="137"/>
      <c r="Y219" s="137"/>
    </row>
    <row r="220" spans="1:25" customFormat="1">
      <c r="A220" s="702"/>
      <c r="B220" s="730"/>
      <c r="C220" s="62"/>
      <c r="D220" s="62"/>
      <c r="E220" s="62"/>
      <c r="F220" s="62"/>
      <c r="G220" s="62"/>
      <c r="H220" s="62"/>
      <c r="L220" s="37"/>
      <c r="N220" s="839"/>
      <c r="O220" s="142"/>
      <c r="P220" s="144"/>
      <c r="Q220" s="144"/>
      <c r="R220" s="145"/>
      <c r="S220" s="145"/>
      <c r="T220" s="145"/>
      <c r="U220" s="145"/>
      <c r="V220" s="139"/>
      <c r="W220" s="137"/>
      <c r="X220" s="137"/>
      <c r="Y220" s="137"/>
    </row>
    <row r="221" spans="1:25" customFormat="1">
      <c r="A221" s="702"/>
      <c r="B221" s="731"/>
      <c r="C221" s="62"/>
      <c r="D221" s="62"/>
      <c r="E221" s="62"/>
      <c r="F221" s="62"/>
      <c r="G221" s="62"/>
      <c r="H221" s="62"/>
      <c r="L221" s="37"/>
      <c r="N221" s="839"/>
      <c r="O221" s="142"/>
      <c r="P221" s="144"/>
      <c r="Q221" s="144"/>
      <c r="R221" s="145"/>
      <c r="S221" s="145"/>
      <c r="T221" s="145"/>
      <c r="U221" s="145"/>
      <c r="V221" s="139"/>
      <c r="W221" s="137"/>
      <c r="X221" s="137"/>
      <c r="Y221" s="137"/>
    </row>
    <row r="222" spans="1:25" customFormat="1">
      <c r="A222" s="841"/>
      <c r="B222" s="730"/>
      <c r="C222" s="62"/>
      <c r="D222" s="62"/>
      <c r="E222" s="62"/>
      <c r="F222" s="62"/>
      <c r="G222" s="62"/>
      <c r="H222" s="62"/>
      <c r="L222" s="37"/>
      <c r="N222" s="839"/>
      <c r="O222" s="142"/>
      <c r="P222" s="144"/>
      <c r="Q222" s="144"/>
      <c r="R222" s="145"/>
      <c r="S222" s="145"/>
      <c r="T222" s="145"/>
      <c r="U222" s="145"/>
      <c r="V222" s="139"/>
      <c r="W222" s="137"/>
      <c r="X222" s="137"/>
      <c r="Y222" s="137"/>
    </row>
    <row r="223" spans="1:25" customFormat="1">
      <c r="A223" s="702"/>
      <c r="B223" s="731" t="s">
        <v>825</v>
      </c>
      <c r="C223" s="62"/>
      <c r="D223" s="62"/>
      <c r="E223" s="62"/>
      <c r="F223" s="62"/>
      <c r="G223" s="62"/>
      <c r="H223" s="62"/>
      <c r="L223" s="37"/>
      <c r="N223" s="839"/>
      <c r="O223" s="142"/>
      <c r="P223" s="144"/>
      <c r="Q223" s="144"/>
      <c r="R223" s="145"/>
      <c r="S223" s="145"/>
      <c r="T223" s="145"/>
      <c r="U223" s="145"/>
      <c r="V223" s="139"/>
      <c r="W223" s="137"/>
      <c r="X223" s="137"/>
      <c r="Y223" s="137"/>
    </row>
    <row r="224" spans="1:25" customFormat="1">
      <c r="A224" s="841"/>
      <c r="B224" s="730"/>
      <c r="C224" s="62"/>
      <c r="D224" s="62"/>
      <c r="E224" s="62"/>
      <c r="F224" s="62"/>
      <c r="G224" s="62"/>
      <c r="H224" s="62"/>
      <c r="L224" s="37"/>
      <c r="N224" s="839"/>
      <c r="O224" s="142"/>
      <c r="P224" s="144"/>
      <c r="Q224" s="144"/>
      <c r="R224" s="145"/>
      <c r="S224" s="145"/>
      <c r="T224" s="145"/>
      <c r="U224" s="145"/>
      <c r="V224" s="139"/>
      <c r="W224" s="137"/>
      <c r="X224" s="137"/>
      <c r="Y224" s="137"/>
    </row>
    <row r="225" spans="1:25" customFormat="1" ht="15" hidden="1" thickBot="1">
      <c r="A225" s="974"/>
      <c r="B225" s="731" t="s">
        <v>825</v>
      </c>
      <c r="C225" s="62"/>
      <c r="D225" s="62"/>
      <c r="E225" s="62"/>
      <c r="F225" s="62"/>
      <c r="G225" s="62"/>
      <c r="H225" s="62"/>
      <c r="L225" s="37"/>
      <c r="N225" s="839"/>
      <c r="O225" s="142"/>
      <c r="P225" s="144"/>
      <c r="Q225" s="144"/>
      <c r="R225" s="145"/>
      <c r="S225" s="145"/>
      <c r="T225" s="145"/>
      <c r="U225" s="145"/>
      <c r="V225" s="139"/>
      <c r="W225" s="137"/>
      <c r="X225" s="137"/>
      <c r="Y225" s="137"/>
    </row>
    <row r="226" spans="1:25" hidden="1">
      <c r="A226" s="975" t="s">
        <v>3129</v>
      </c>
      <c r="B226" s="959" t="s">
        <v>3038</v>
      </c>
    </row>
    <row r="227" spans="1:25" hidden="1">
      <c r="A227" s="976"/>
      <c r="B227" s="968" t="s">
        <v>3039</v>
      </c>
    </row>
    <row r="228" spans="1:25" hidden="1">
      <c r="A228" s="977"/>
      <c r="B228" s="968" t="s">
        <v>3040</v>
      </c>
    </row>
    <row r="229" spans="1:25" hidden="1">
      <c r="A229" s="976"/>
      <c r="B229" s="969" t="s">
        <v>3490</v>
      </c>
    </row>
    <row r="230" spans="1:25" ht="15" hidden="1" thickBot="1">
      <c r="A230" s="977"/>
      <c r="B230" s="970" t="s">
        <v>3041</v>
      </c>
    </row>
    <row r="231" spans="1:25" ht="15" hidden="1" thickBot="1">
      <c r="A231" s="976"/>
      <c r="B231" s="971" t="s">
        <v>825</v>
      </c>
    </row>
    <row r="232" spans="1:25" hidden="1">
      <c r="A232" s="975" t="s">
        <v>3130</v>
      </c>
      <c r="B232" s="959" t="s">
        <v>989</v>
      </c>
      <c r="D232" s="958" t="s">
        <v>3131</v>
      </c>
      <c r="G232" s="959" t="s">
        <v>918</v>
      </c>
    </row>
    <row r="233" spans="1:25" hidden="1">
      <c r="A233" s="976"/>
      <c r="B233" s="968" t="s">
        <v>990</v>
      </c>
      <c r="D233" s="841"/>
      <c r="G233" s="968" t="s">
        <v>3011</v>
      </c>
    </row>
    <row r="234" spans="1:25" ht="15" hidden="1" thickBot="1">
      <c r="A234" s="977"/>
      <c r="B234" s="968" t="s">
        <v>991</v>
      </c>
      <c r="G234" s="970" t="s">
        <v>3012</v>
      </c>
    </row>
    <row r="235" spans="1:25" ht="15" hidden="1" thickBot="1">
      <c r="A235" s="976"/>
      <c r="B235" s="968" t="s">
        <v>992</v>
      </c>
    </row>
    <row r="236" spans="1:25" hidden="1">
      <c r="A236" s="977"/>
      <c r="B236" s="968" t="s">
        <v>993</v>
      </c>
      <c r="D236" s="958" t="s">
        <v>3132</v>
      </c>
      <c r="G236" s="959" t="s">
        <v>1004</v>
      </c>
    </row>
    <row r="237" spans="1:25" hidden="1">
      <c r="A237" s="976"/>
      <c r="B237" s="968" t="s">
        <v>994</v>
      </c>
      <c r="G237" s="968" t="s">
        <v>1005</v>
      </c>
    </row>
    <row r="238" spans="1:25" hidden="1">
      <c r="A238" s="977"/>
      <c r="B238" s="968" t="s">
        <v>917</v>
      </c>
      <c r="G238" s="968" t="s">
        <v>1006</v>
      </c>
    </row>
    <row r="239" spans="1:25" hidden="1">
      <c r="A239" s="976"/>
      <c r="B239" s="968" t="s">
        <v>995</v>
      </c>
      <c r="G239" s="968" t="s">
        <v>1007</v>
      </c>
    </row>
    <row r="240" spans="1:25" hidden="1">
      <c r="A240" s="977"/>
      <c r="B240" s="968" t="s">
        <v>995</v>
      </c>
      <c r="G240" s="968" t="s">
        <v>1007</v>
      </c>
    </row>
    <row r="241" spans="1:7" hidden="1">
      <c r="A241" s="976"/>
      <c r="B241" s="968" t="s">
        <v>996</v>
      </c>
      <c r="G241" s="968" t="s">
        <v>1008</v>
      </c>
    </row>
    <row r="242" spans="1:7" hidden="1">
      <c r="A242" s="977"/>
      <c r="B242" s="968" t="s">
        <v>997</v>
      </c>
      <c r="G242" s="968" t="s">
        <v>3042</v>
      </c>
    </row>
    <row r="243" spans="1:7" hidden="1">
      <c r="A243" s="976"/>
      <c r="B243" s="968" t="s">
        <v>998</v>
      </c>
      <c r="G243" s="968" t="s">
        <v>3043</v>
      </c>
    </row>
    <row r="244" spans="1:7" hidden="1">
      <c r="A244" s="977"/>
      <c r="B244" s="968" t="s">
        <v>999</v>
      </c>
      <c r="G244" s="968" t="s">
        <v>1009</v>
      </c>
    </row>
    <row r="245" spans="1:7" hidden="1">
      <c r="A245" s="976"/>
      <c r="B245" s="968" t="s">
        <v>1000</v>
      </c>
      <c r="G245" s="968" t="s">
        <v>3044</v>
      </c>
    </row>
    <row r="246" spans="1:7" hidden="1">
      <c r="A246" s="977"/>
      <c r="B246" s="968" t="s">
        <v>1001</v>
      </c>
      <c r="G246" s="968" t="s">
        <v>3045</v>
      </c>
    </row>
    <row r="247" spans="1:7" ht="15" hidden="1" thickBot="1">
      <c r="A247" s="976"/>
      <c r="B247" s="968" t="s">
        <v>1002</v>
      </c>
      <c r="G247" s="970" t="s">
        <v>3046</v>
      </c>
    </row>
    <row r="248" spans="1:7" hidden="1">
      <c r="A248" s="977"/>
      <c r="B248" s="968" t="s">
        <v>1002</v>
      </c>
    </row>
    <row r="249" spans="1:7" ht="15" hidden="1" thickBot="1">
      <c r="A249" s="976"/>
      <c r="B249" s="970" t="s">
        <v>1003</v>
      </c>
    </row>
    <row r="250" spans="1:7" ht="15" hidden="1" thickBot="1">
      <c r="A250" s="977"/>
    </row>
    <row r="251" spans="1:7" hidden="1">
      <c r="A251" s="975" t="s">
        <v>3133</v>
      </c>
      <c r="B251" s="959" t="s">
        <v>1011</v>
      </c>
      <c r="D251" s="960" t="s">
        <v>3134</v>
      </c>
      <c r="G251" s="959" t="s">
        <v>2683</v>
      </c>
    </row>
    <row r="252" spans="1:7" hidden="1">
      <c r="A252" s="978"/>
      <c r="B252" s="968" t="s">
        <v>921</v>
      </c>
      <c r="G252" s="968" t="s">
        <v>2685</v>
      </c>
    </row>
    <row r="253" spans="1:7" hidden="1">
      <c r="A253" s="976"/>
      <c r="B253" s="968" t="s">
        <v>921</v>
      </c>
      <c r="G253" s="968" t="s">
        <v>1017</v>
      </c>
    </row>
    <row r="254" spans="1:7" hidden="1">
      <c r="A254" s="976"/>
      <c r="B254" s="968" t="s">
        <v>1012</v>
      </c>
      <c r="G254" s="968" t="s">
        <v>1018</v>
      </c>
    </row>
    <row r="255" spans="1:7" ht="15" hidden="1" thickBot="1">
      <c r="A255" s="976"/>
      <c r="B255" s="968" t="s">
        <v>1013</v>
      </c>
      <c r="G255" s="970" t="s">
        <v>941</v>
      </c>
    </row>
    <row r="256" spans="1:7" ht="15" hidden="1" thickBot="1">
      <c r="A256" s="976"/>
      <c r="B256" s="970" t="s">
        <v>1014</v>
      </c>
    </row>
    <row r="257" spans="1:7" ht="15" hidden="1" thickBot="1">
      <c r="A257" s="976"/>
    </row>
    <row r="258" spans="1:7" hidden="1">
      <c r="A258" s="975" t="s">
        <v>3135</v>
      </c>
      <c r="B258" s="959" t="s">
        <v>933</v>
      </c>
      <c r="D258" s="960" t="s">
        <v>3136</v>
      </c>
      <c r="G258" s="833" t="s">
        <v>1025</v>
      </c>
    </row>
    <row r="259" spans="1:7" hidden="1">
      <c r="A259" s="976"/>
      <c r="B259" s="968" t="s">
        <v>1023</v>
      </c>
      <c r="G259" s="834" t="s">
        <v>1026</v>
      </c>
    </row>
    <row r="260" spans="1:7" ht="15" hidden="1" thickBot="1">
      <c r="A260" s="976"/>
      <c r="B260" s="970" t="s">
        <v>1024</v>
      </c>
      <c r="G260" s="835" t="s">
        <v>938</v>
      </c>
    </row>
    <row r="261" spans="1:7" ht="15" hidden="1" thickBot="1">
      <c r="A261" s="976"/>
    </row>
    <row r="262" spans="1:7" hidden="1">
      <c r="A262" s="976" t="s">
        <v>3137</v>
      </c>
      <c r="B262" s="833" t="s">
        <v>2687</v>
      </c>
      <c r="D262" s="960" t="s">
        <v>3163</v>
      </c>
      <c r="F262" s="973" t="s">
        <v>3138</v>
      </c>
      <c r="G262" s="836" t="str">
        <f>SUBSTITUTE(SUBSTITUTE(F262,"      &lt;xs:enumeration value=""",""),"""/&gt;","")</f>
        <v>Heizöl</v>
      </c>
    </row>
    <row r="263" spans="1:7" hidden="1">
      <c r="A263" s="976"/>
      <c r="B263" s="834" t="s">
        <v>2688</v>
      </c>
      <c r="F263" s="973" t="s">
        <v>3139</v>
      </c>
      <c r="G263" s="837" t="str">
        <f t="shared" ref="G263:G287" si="52">SUBSTITUTE(SUBSTITUTE(F263,"      &lt;xs:enumeration value=""",""),"""/&gt;","")</f>
        <v>Erdgas</v>
      </c>
    </row>
    <row r="264" spans="1:7" hidden="1">
      <c r="A264" s="976"/>
      <c r="B264" s="834" t="s">
        <v>2689</v>
      </c>
      <c r="F264" s="973" t="s">
        <v>3140</v>
      </c>
      <c r="G264" s="837" t="str">
        <f t="shared" si="52"/>
        <v>Flüssiggas</v>
      </c>
    </row>
    <row r="265" spans="1:7" hidden="1">
      <c r="A265" s="976"/>
      <c r="B265" s="834" t="s">
        <v>2690</v>
      </c>
      <c r="F265" s="973" t="s">
        <v>3141</v>
      </c>
      <c r="G265" s="837" t="str">
        <f t="shared" si="52"/>
        <v>Steinkohle</v>
      </c>
    </row>
    <row r="266" spans="1:7" hidden="1">
      <c r="A266" s="976"/>
      <c r="B266" s="834" t="s">
        <v>2691</v>
      </c>
      <c r="F266" s="973" t="s">
        <v>3142</v>
      </c>
      <c r="G266" s="837" t="str">
        <f t="shared" si="52"/>
        <v>Braunkohle</v>
      </c>
    </row>
    <row r="267" spans="1:7" hidden="1">
      <c r="A267" s="976"/>
      <c r="B267" s="834" t="s">
        <v>2692</v>
      </c>
      <c r="F267" s="973" t="s">
        <v>3143</v>
      </c>
      <c r="G267" s="837" t="str">
        <f t="shared" si="52"/>
        <v>Biogas</v>
      </c>
    </row>
    <row r="268" spans="1:7" hidden="1">
      <c r="A268" s="976"/>
      <c r="B268" s="834" t="s">
        <v>2693</v>
      </c>
      <c r="F268" s="973" t="s">
        <v>3144</v>
      </c>
      <c r="G268" s="837" t="str">
        <f t="shared" si="52"/>
        <v>Biogas, gebäudenah erzeugt</v>
      </c>
    </row>
    <row r="269" spans="1:7" hidden="1">
      <c r="A269" s="976"/>
      <c r="B269" s="834" t="s">
        <v>2694</v>
      </c>
      <c r="F269" s="973" t="s">
        <v>3145</v>
      </c>
      <c r="G269" s="837" t="str">
        <f t="shared" si="52"/>
        <v>biogenes Flüssiggas</v>
      </c>
    </row>
    <row r="270" spans="1:7" hidden="1">
      <c r="A270" s="976"/>
      <c r="B270" s="834" t="s">
        <v>2695</v>
      </c>
      <c r="F270" s="973" t="s">
        <v>3146</v>
      </c>
      <c r="G270" s="837" t="str">
        <f t="shared" si="52"/>
        <v>Bioöl</v>
      </c>
    </row>
    <row r="271" spans="1:7" hidden="1">
      <c r="A271" s="976"/>
      <c r="B271" s="834" t="s">
        <v>2696</v>
      </c>
      <c r="F271" s="973" t="s">
        <v>3147</v>
      </c>
      <c r="G271" s="837" t="str">
        <f t="shared" si="52"/>
        <v>Bioöl, gebäudenah erzeugt</v>
      </c>
    </row>
    <row r="272" spans="1:7" hidden="1">
      <c r="A272" s="976"/>
      <c r="B272" s="834" t="s">
        <v>2697</v>
      </c>
      <c r="F272" s="973" t="s">
        <v>3148</v>
      </c>
      <c r="G272" s="837" t="str">
        <f t="shared" si="52"/>
        <v>Holz</v>
      </c>
    </row>
    <row r="273" spans="1:7" hidden="1">
      <c r="A273" s="976"/>
      <c r="B273" s="834" t="s">
        <v>2698</v>
      </c>
      <c r="F273" s="973" t="s">
        <v>3149</v>
      </c>
      <c r="G273" s="837" t="str">
        <f t="shared" si="52"/>
        <v>Strom netzbezogen</v>
      </c>
    </row>
    <row r="274" spans="1:7" hidden="1">
      <c r="A274" s="976"/>
      <c r="B274" s="834" t="s">
        <v>2699</v>
      </c>
      <c r="F274" s="973" t="s">
        <v>3150</v>
      </c>
      <c r="G274" s="837" t="str">
        <f t="shared" si="52"/>
        <v>Strom gebäudenah erzeugt (aus Photovoltaik, Windkraft)</v>
      </c>
    </row>
    <row r="275" spans="1:7" hidden="1">
      <c r="A275" s="976"/>
      <c r="B275" s="834" t="s">
        <v>2700</v>
      </c>
      <c r="F275" s="973" t="s">
        <v>3151</v>
      </c>
      <c r="G275" s="837" t="str">
        <f t="shared" si="52"/>
        <v>Verdrängungsstrommix für KWK</v>
      </c>
    </row>
    <row r="276" spans="1:7" hidden="1">
      <c r="A276" s="976"/>
      <c r="B276" s="834" t="s">
        <v>2701</v>
      </c>
      <c r="F276" s="973" t="s">
        <v>3152</v>
      </c>
      <c r="G276" s="837" t="str">
        <f t="shared" si="52"/>
        <v>Wärme (Erdwärme, Geothermie, Solarthermie, Umgebungswärme)</v>
      </c>
    </row>
    <row r="277" spans="1:7" hidden="1">
      <c r="A277" s="976"/>
      <c r="B277" s="834" t="s">
        <v>2702</v>
      </c>
      <c r="F277" s="973" t="s">
        <v>3153</v>
      </c>
      <c r="G277" s="837" t="str">
        <f t="shared" si="52"/>
        <v>Kälte (Erdkälte, Umgebungskälte)</v>
      </c>
    </row>
    <row r="278" spans="1:7" hidden="1">
      <c r="A278" s="976"/>
      <c r="B278" s="834" t="s">
        <v>2703</v>
      </c>
      <c r="F278" s="973" t="s">
        <v>3154</v>
      </c>
      <c r="G278" s="837" t="str">
        <f t="shared" si="52"/>
        <v>Abwärme aus Prozessen (prod)</v>
      </c>
    </row>
    <row r="279" spans="1:7" hidden="1">
      <c r="A279" s="976"/>
      <c r="B279" s="834" t="s">
        <v>2704</v>
      </c>
      <c r="F279" s="973" t="s">
        <v>3155</v>
      </c>
      <c r="G279" s="837" t="str">
        <f t="shared" si="52"/>
        <v>Abwärme aus Prozessen (out)</v>
      </c>
    </row>
    <row r="280" spans="1:7" hidden="1">
      <c r="A280" s="976"/>
      <c r="B280" s="834" t="s">
        <v>2705</v>
      </c>
      <c r="F280" s="973" t="s">
        <v>3156</v>
      </c>
      <c r="G280" s="837" t="str">
        <f t="shared" si="52"/>
        <v>Wärme aus KWK, gebäudeintegriert oder gebäudenah</v>
      </c>
    </row>
    <row r="281" spans="1:7" hidden="1">
      <c r="A281" s="976"/>
      <c r="B281" s="834" t="s">
        <v>2706</v>
      </c>
      <c r="F281" s="973" t="s">
        <v>3157</v>
      </c>
      <c r="G281" s="837" t="str">
        <f t="shared" si="52"/>
        <v>Wärme aus Verbrennung von Siedlungsabfällen</v>
      </c>
    </row>
    <row r="282" spans="1:7" hidden="1">
      <c r="A282" s="976"/>
      <c r="B282" s="834" t="s">
        <v>2707</v>
      </c>
      <c r="F282" s="973" t="s">
        <v>3158</v>
      </c>
      <c r="G282" s="837" t="str">
        <f t="shared" si="52"/>
        <v>Nah-/Fernwärme aus KWK, fossiler Brennstoff (Stein-/Braunkohle) bzw. Energieträger</v>
      </c>
    </row>
    <row r="283" spans="1:7" hidden="1">
      <c r="A283" s="976"/>
      <c r="B283" s="834" t="s">
        <v>2708</v>
      </c>
      <c r="F283" s="973" t="s">
        <v>3159</v>
      </c>
      <c r="G283" s="837" t="str">
        <f t="shared" si="52"/>
        <v>Nah-/Fernwärme aus KWK, fossiler Brennstoff (Gasförmige und flüssige Brennstoffe) bzw. Energieträger</v>
      </c>
    </row>
    <row r="284" spans="1:7" hidden="1">
      <c r="A284" s="976"/>
      <c r="B284" s="834" t="s">
        <v>2709</v>
      </c>
      <c r="F284" s="973" t="s">
        <v>3160</v>
      </c>
      <c r="G284" s="837" t="str">
        <f t="shared" si="52"/>
        <v>Nah-/Fernwärme aus KWK, erneuerbarer Brennstoff bzw. Energieträger</v>
      </c>
    </row>
    <row r="285" spans="1:7" hidden="1">
      <c r="A285" s="976"/>
      <c r="B285" s="834" t="s">
        <v>2710</v>
      </c>
      <c r="F285" s="973" t="s">
        <v>3161</v>
      </c>
      <c r="G285" s="837" t="str">
        <f t="shared" si="52"/>
        <v>Nah-/Fernwärme aus Heizwerken, fossiler Brennstoff (Stein-/Braunkohle) bzw. Energieträger</v>
      </c>
    </row>
    <row r="286" spans="1:7" hidden="1">
      <c r="A286" s="976"/>
      <c r="B286" s="834" t="s">
        <v>2711</v>
      </c>
      <c r="F286" s="973" t="s">
        <v>3255</v>
      </c>
      <c r="G286" s="837" t="str">
        <f t="shared" si="52"/>
        <v>Nah-/Fernwärme aus Heizwerken, fossiler Brennstoff (Gasförmige und flüssige Brennstoffe) bzw. Energieträger</v>
      </c>
    </row>
    <row r="287" spans="1:7" ht="15" hidden="1" thickBot="1">
      <c r="A287" s="976"/>
      <c r="B287" s="834" t="s">
        <v>2712</v>
      </c>
      <c r="F287" s="973" t="s">
        <v>3162</v>
      </c>
      <c r="G287" s="838" t="str">
        <f t="shared" si="52"/>
        <v>Nah-/ Fernwärme aus Heizwerken, erneuerbarer Brennstoff bzw. Energieträger</v>
      </c>
    </row>
    <row r="288" spans="1:7" hidden="1">
      <c r="A288" s="976"/>
      <c r="B288" s="834" t="s">
        <v>2713</v>
      </c>
    </row>
    <row r="289" spans="1:11" hidden="1">
      <c r="A289" s="976"/>
      <c r="B289" s="834" t="s">
        <v>2714</v>
      </c>
    </row>
    <row r="290" spans="1:11" hidden="1">
      <c r="A290" s="976"/>
      <c r="B290" s="834" t="s">
        <v>2715</v>
      </c>
    </row>
    <row r="291" spans="1:11" hidden="1">
      <c r="A291" s="976"/>
      <c r="B291" s="834" t="s">
        <v>2716</v>
      </c>
    </row>
    <row r="292" spans="1:11" ht="15" hidden="1" thickBot="1">
      <c r="A292" s="976"/>
      <c r="B292" s="835" t="s">
        <v>941</v>
      </c>
    </row>
    <row r="293" spans="1:11" ht="15" hidden="1" thickBot="1">
      <c r="A293" s="976"/>
    </row>
    <row r="294" spans="1:11" hidden="1">
      <c r="A294" s="976" t="s">
        <v>3164</v>
      </c>
      <c r="B294" s="833" t="s">
        <v>1037</v>
      </c>
      <c r="D294" s="960" t="s">
        <v>3166</v>
      </c>
      <c r="G294" s="833" t="s">
        <v>2718</v>
      </c>
    </row>
    <row r="295" spans="1:11" hidden="1">
      <c r="A295" s="976"/>
      <c r="B295" s="834" t="s">
        <v>1038</v>
      </c>
      <c r="G295" s="834" t="s">
        <v>2719</v>
      </c>
    </row>
    <row r="296" spans="1:11" hidden="1">
      <c r="A296" s="976"/>
      <c r="B296" s="834" t="s">
        <v>942</v>
      </c>
      <c r="G296" s="834" t="s">
        <v>2720</v>
      </c>
    </row>
    <row r="297" spans="1:11" hidden="1">
      <c r="A297" s="976"/>
      <c r="B297" s="834" t="s">
        <v>2162</v>
      </c>
      <c r="G297" s="834" t="s">
        <v>2721</v>
      </c>
    </row>
    <row r="298" spans="1:11" hidden="1">
      <c r="A298" s="976"/>
      <c r="B298" s="834" t="s">
        <v>2686</v>
      </c>
      <c r="G298" s="955" t="s">
        <v>3002</v>
      </c>
    </row>
    <row r="299" spans="1:11" ht="15" hidden="1" thickBot="1">
      <c r="A299" s="976"/>
      <c r="B299" s="835" t="s">
        <v>1039</v>
      </c>
      <c r="G299" s="956" t="s">
        <v>941</v>
      </c>
    </row>
    <row r="300" spans="1:11" ht="15" hidden="1" thickBot="1">
      <c r="A300" s="976"/>
      <c r="B300" s="960"/>
      <c r="I300" s="960"/>
      <c r="J300" s="960"/>
      <c r="K300" s="960"/>
    </row>
    <row r="301" spans="1:11" hidden="1">
      <c r="A301" s="976"/>
      <c r="B301" s="960" t="s">
        <v>3210</v>
      </c>
      <c r="C301" s="961"/>
      <c r="D301" s="961"/>
      <c r="F301" s="973" t="s">
        <v>3198</v>
      </c>
      <c r="G301" s="836" t="str">
        <f>SUBSTITUTE(SUBSTITUTE(F301,"      &lt;xs:enumeration value=""",""),"""/&gt;","")</f>
        <v>solarthermische Anlagen</v>
      </c>
      <c r="I301" s="960"/>
      <c r="J301" s="960"/>
      <c r="K301" s="960"/>
    </row>
    <row r="302" spans="1:11" hidden="1">
      <c r="A302" s="976"/>
      <c r="B302" s="960"/>
      <c r="F302" s="973" t="s">
        <v>3199</v>
      </c>
      <c r="G302" s="837" t="str">
        <f t="shared" ref="G302:G312" si="53">SUBSTITUTE(SUBSTITUTE(F302,"      &lt;xs:enumeration value=""",""),"""/&gt;","")</f>
        <v>Strom aus erneuerbaren Energien</v>
      </c>
      <c r="I302" s="960"/>
      <c r="J302" s="960"/>
      <c r="K302" s="960"/>
    </row>
    <row r="303" spans="1:11" hidden="1">
      <c r="A303" s="976"/>
      <c r="B303" s="960"/>
      <c r="F303" s="973" t="s">
        <v>3200</v>
      </c>
      <c r="G303" s="837" t="str">
        <f t="shared" si="53"/>
        <v>Geothermie oder Umweltwärem</v>
      </c>
      <c r="I303" s="960"/>
      <c r="J303" s="960"/>
      <c r="K303" s="960"/>
    </row>
    <row r="304" spans="1:11" hidden="1">
      <c r="A304" s="976"/>
      <c r="B304" s="960"/>
      <c r="F304" s="973" t="s">
        <v>3201</v>
      </c>
      <c r="G304" s="837" t="str">
        <f t="shared" si="53"/>
        <v>feste Biomasse</v>
      </c>
      <c r="I304" s="960"/>
      <c r="J304" s="960"/>
      <c r="K304" s="960"/>
    </row>
    <row r="305" spans="1:11" hidden="1">
      <c r="A305" s="976"/>
      <c r="B305" s="960"/>
      <c r="F305" s="973" t="s">
        <v>3202</v>
      </c>
      <c r="G305" s="837" t="str">
        <f t="shared" si="53"/>
        <v>flüssige Biomasse</v>
      </c>
      <c r="I305" s="960"/>
      <c r="J305" s="960"/>
      <c r="K305" s="960"/>
    </row>
    <row r="306" spans="1:11" hidden="1">
      <c r="A306" s="976"/>
      <c r="B306" s="960"/>
      <c r="F306" s="973" t="s">
        <v>3203</v>
      </c>
      <c r="G306" s="837" t="str">
        <f t="shared" si="53"/>
        <v>gasförmige Biomasse</v>
      </c>
      <c r="I306" s="960"/>
      <c r="J306" s="960"/>
      <c r="K306" s="960"/>
    </row>
    <row r="307" spans="1:11" hidden="1">
      <c r="A307" s="976"/>
      <c r="B307" s="960"/>
      <c r="F307" s="973" t="s">
        <v>3204</v>
      </c>
      <c r="G307" s="837" t="str">
        <f t="shared" si="53"/>
        <v>Kälte aus erneuerbaren Energien</v>
      </c>
      <c r="I307" s="960"/>
      <c r="J307" s="960"/>
      <c r="K307" s="960"/>
    </row>
    <row r="308" spans="1:11" hidden="1">
      <c r="A308" s="976"/>
      <c r="B308" s="960"/>
      <c r="F308" s="973" t="s">
        <v>3205</v>
      </c>
      <c r="G308" s="837" t="str">
        <f t="shared" si="53"/>
        <v>Abwärme</v>
      </c>
      <c r="I308" s="960"/>
      <c r="J308" s="960"/>
      <c r="K308" s="960"/>
    </row>
    <row r="309" spans="1:11" hidden="1">
      <c r="A309" s="976"/>
      <c r="B309" s="960"/>
      <c r="F309" s="973" t="s">
        <v>3206</v>
      </c>
      <c r="G309" s="837" t="str">
        <f t="shared" si="53"/>
        <v>Kraft-Wärme-Kopplung hocheff. KWK-Anlage</v>
      </c>
      <c r="I309" s="960"/>
      <c r="J309" s="960"/>
      <c r="K309" s="960"/>
    </row>
    <row r="310" spans="1:11" hidden="1">
      <c r="A310" s="976"/>
      <c r="B310" s="960"/>
      <c r="F310" s="973" t="s">
        <v>3207</v>
      </c>
      <c r="G310" s="837" t="str">
        <f t="shared" si="53"/>
        <v>Kraft-Wärme-Kopplung Brennstoffzellenh.</v>
      </c>
      <c r="I310" s="960"/>
      <c r="J310" s="960"/>
      <c r="K310" s="960"/>
    </row>
    <row r="311" spans="1:11" hidden="1">
      <c r="A311" s="976"/>
      <c r="B311" s="960"/>
      <c r="F311" s="973" t="s">
        <v>3208</v>
      </c>
      <c r="G311" s="837" t="str">
        <f t="shared" si="53"/>
        <v>Fernwärme oder Fernkälte</v>
      </c>
      <c r="I311" s="960"/>
      <c r="J311" s="960"/>
      <c r="K311" s="960"/>
    </row>
    <row r="312" spans="1:11" ht="15" hidden="1" thickBot="1">
      <c r="A312" s="976"/>
      <c r="B312" s="960"/>
      <c r="F312" s="973" t="s">
        <v>3209</v>
      </c>
      <c r="G312" s="838" t="str">
        <f t="shared" si="53"/>
        <v>Maßnahmen zur Einsparung von Energie</v>
      </c>
      <c r="I312" s="960"/>
      <c r="J312" s="960"/>
      <c r="K312" s="960"/>
    </row>
    <row r="313" spans="1:11" hidden="1">
      <c r="A313" s="976"/>
      <c r="B313" s="960"/>
      <c r="F313" s="961"/>
      <c r="G313" s="961"/>
      <c r="H313" s="961"/>
      <c r="I313" s="960"/>
      <c r="J313" s="960"/>
      <c r="K313" s="960"/>
    </row>
    <row r="314" spans="1:11" hidden="1">
      <c r="A314" s="976"/>
      <c r="F314" s="961"/>
      <c r="G314" s="961"/>
      <c r="H314" s="961"/>
    </row>
    <row r="315" spans="1:11">
      <c r="F315" s="961"/>
      <c r="G315" s="961"/>
      <c r="H315" s="961"/>
    </row>
  </sheetData>
  <sheetProtection algorithmName="SHA-512" hashValue="LozlzSBCTrAdAn1VCXsNwTHUcEVhqRLBLKOf23dNrYdreT24cQ4Jne0tkvutEENnyJxZdYrMbPZ8XcA3Iw0o7Q==" saltValue="N1tbJdJ9CYEXqdaxEYm+cg==" spinCount="100000" sheet="1" objects="1" scenarios="1"/>
  <dataConsolidate/>
  <mergeCells count="7">
    <mergeCell ref="B175:C175"/>
    <mergeCell ref="B166:C166"/>
    <mergeCell ref="A12:A13"/>
    <mergeCell ref="B125:C125"/>
    <mergeCell ref="B133:C133"/>
    <mergeCell ref="B129:C129"/>
    <mergeCell ref="B137:C137"/>
  </mergeCells>
  <phoneticPr fontId="195" type="noConversion"/>
  <conditionalFormatting sqref="D16:D17 D53:D54 D199 D28 D26 D30 D190 D51 D167:D173 D183:D187 D156:D164 D194:D197">
    <cfRule type="cellIs" dxfId="71" priority="164" operator="equal">
      <formula>"ok"</formula>
    </cfRule>
  </conditionalFormatting>
  <conditionalFormatting sqref="D19:D25">
    <cfRule type="cellIs" dxfId="70" priority="163" operator="equal">
      <formula>"ok"</formula>
    </cfRule>
  </conditionalFormatting>
  <conditionalFormatting sqref="D34">
    <cfRule type="cellIs" dxfId="69" priority="162" operator="equal">
      <formula>"ok"</formula>
    </cfRule>
  </conditionalFormatting>
  <conditionalFormatting sqref="D36">
    <cfRule type="cellIs" dxfId="68" priority="161" operator="equal">
      <formula>"ok"</formula>
    </cfRule>
  </conditionalFormatting>
  <conditionalFormatting sqref="D38 D40:D51">
    <cfRule type="cellIs" dxfId="67" priority="160" operator="equal">
      <formula>"ok"</formula>
    </cfRule>
  </conditionalFormatting>
  <conditionalFormatting sqref="D201">
    <cfRule type="cellIs" dxfId="66" priority="159" operator="equal">
      <formula>"ok"</formula>
    </cfRule>
  </conditionalFormatting>
  <conditionalFormatting sqref="D127:D128">
    <cfRule type="cellIs" dxfId="65" priority="151" operator="equal">
      <formula>"ok"</formula>
    </cfRule>
  </conditionalFormatting>
  <conditionalFormatting sqref="D136">
    <cfRule type="cellIs" dxfId="64" priority="149" operator="equal">
      <formula>"ok"</formula>
    </cfRule>
  </conditionalFormatting>
  <conditionalFormatting sqref="D130">
    <cfRule type="cellIs" dxfId="63" priority="136" operator="equal">
      <formula>"ok"</formula>
    </cfRule>
  </conditionalFormatting>
  <conditionalFormatting sqref="D57:D58">
    <cfRule type="cellIs" dxfId="62" priority="144" operator="equal">
      <formula>"ok"</formula>
    </cfRule>
  </conditionalFormatting>
  <conditionalFormatting sqref="D32">
    <cfRule type="cellIs" dxfId="61" priority="142" operator="equal">
      <formula>"ok"</formula>
    </cfRule>
  </conditionalFormatting>
  <conditionalFormatting sqref="D135">
    <cfRule type="cellIs" dxfId="60" priority="141" operator="equal">
      <formula>"ok"</formula>
    </cfRule>
  </conditionalFormatting>
  <conditionalFormatting sqref="D35">
    <cfRule type="cellIs" dxfId="59" priority="127" operator="equal">
      <formula>"ok"</formula>
    </cfRule>
  </conditionalFormatting>
  <conditionalFormatting sqref="D134">
    <cfRule type="cellIs" dxfId="58" priority="130" operator="equal">
      <formula>"ok"</formula>
    </cfRule>
  </conditionalFormatting>
  <conditionalFormatting sqref="D138">
    <cfRule type="cellIs" dxfId="57" priority="134" operator="equal">
      <formula>"ok"</formula>
    </cfRule>
  </conditionalFormatting>
  <conditionalFormatting sqref="D52">
    <cfRule type="cellIs" dxfId="56" priority="125" operator="equal">
      <formula>"ok"</formula>
    </cfRule>
  </conditionalFormatting>
  <conditionalFormatting sqref="D56">
    <cfRule type="cellIs" dxfId="55" priority="123" operator="equal">
      <formula>"ok"</formula>
    </cfRule>
  </conditionalFormatting>
  <conditionalFormatting sqref="D126">
    <cfRule type="cellIs" dxfId="54" priority="131" operator="equal">
      <formula>"ok"</formula>
    </cfRule>
  </conditionalFormatting>
  <conditionalFormatting sqref="D31">
    <cfRule type="cellIs" dxfId="53" priority="128" operator="equal">
      <formula>"ok"</formula>
    </cfRule>
  </conditionalFormatting>
  <conditionalFormatting sqref="D37">
    <cfRule type="cellIs" dxfId="52" priority="126" operator="equal">
      <formula>"ok"</formula>
    </cfRule>
  </conditionalFormatting>
  <conditionalFormatting sqref="D60">
    <cfRule type="cellIs" dxfId="51" priority="122" operator="equal">
      <formula>"ok"</formula>
    </cfRule>
  </conditionalFormatting>
  <conditionalFormatting sqref="D119">
    <cfRule type="cellIs" dxfId="50" priority="121" operator="equal">
      <formula>"ok"</formula>
    </cfRule>
  </conditionalFormatting>
  <conditionalFormatting sqref="D125">
    <cfRule type="cellIs" dxfId="49" priority="111" operator="equal">
      <formula>"ok"</formula>
    </cfRule>
  </conditionalFormatting>
  <conditionalFormatting sqref="D129">
    <cfRule type="cellIs" dxfId="48" priority="110" operator="equal">
      <formula>"ok"</formula>
    </cfRule>
  </conditionalFormatting>
  <conditionalFormatting sqref="D145">
    <cfRule type="cellIs" dxfId="47" priority="106" operator="equal">
      <formula>"ok"</formula>
    </cfRule>
  </conditionalFormatting>
  <conditionalFormatting sqref="E65:G114">
    <cfRule type="cellIs" dxfId="46" priority="97" operator="equal">
      <formula>"ok"</formula>
    </cfRule>
  </conditionalFormatting>
  <conditionalFormatting sqref="E65:G114">
    <cfRule type="cellIs" dxfId="45" priority="96" operator="equal">
      <formula>""</formula>
    </cfRule>
  </conditionalFormatting>
  <conditionalFormatting sqref="F65:G114">
    <cfRule type="cellIs" dxfId="44" priority="95" operator="equal">
      <formula>""</formula>
    </cfRule>
  </conditionalFormatting>
  <conditionalFormatting sqref="D15">
    <cfRule type="cellIs" dxfId="43" priority="79" operator="equal">
      <formula>$W$1</formula>
    </cfRule>
  </conditionalFormatting>
  <conditionalFormatting sqref="D27">
    <cfRule type="cellIs" dxfId="42" priority="71" operator="equal">
      <formula>$W$1</formula>
    </cfRule>
  </conditionalFormatting>
  <conditionalFormatting sqref="D55">
    <cfRule type="cellIs" dxfId="41" priority="70" operator="equal">
      <formula>$W$1</formula>
    </cfRule>
  </conditionalFormatting>
  <conditionalFormatting sqref="D59">
    <cfRule type="cellIs" dxfId="40" priority="69" operator="equal">
      <formula>$W$1</formula>
    </cfRule>
  </conditionalFormatting>
  <conditionalFormatting sqref="D63">
    <cfRule type="cellIs" dxfId="39" priority="66" operator="equal">
      <formula>$W$1</formula>
    </cfRule>
  </conditionalFormatting>
  <conditionalFormatting sqref="D123">
    <cfRule type="cellIs" dxfId="38" priority="63" operator="equal">
      <formula>$W$1</formula>
    </cfRule>
  </conditionalFormatting>
  <conditionalFormatting sqref="D143">
    <cfRule type="cellIs" dxfId="37" priority="62" operator="equal">
      <formula>$W$1</formula>
    </cfRule>
  </conditionalFormatting>
  <conditionalFormatting sqref="D155">
    <cfRule type="cellIs" dxfId="36" priority="61" operator="equal">
      <formula>$W$1</formula>
    </cfRule>
  </conditionalFormatting>
  <conditionalFormatting sqref="D4">
    <cfRule type="cellIs" dxfId="35" priority="60" operator="equal">
      <formula>$W$1</formula>
    </cfRule>
  </conditionalFormatting>
  <conditionalFormatting sqref="H7:H13">
    <cfRule type="cellIs" dxfId="34" priority="59" operator="equal">
      <formula>"ok"</formula>
    </cfRule>
  </conditionalFormatting>
  <conditionalFormatting sqref="H5">
    <cfRule type="cellIs" dxfId="33" priority="58" operator="equal">
      <formula>"ok"</formula>
    </cfRule>
  </conditionalFormatting>
  <conditionalFormatting sqref="D198">
    <cfRule type="cellIs" dxfId="32" priority="56" operator="equal">
      <formula>$W$1</formula>
    </cfRule>
  </conditionalFormatting>
  <conditionalFormatting sqref="D117">
    <cfRule type="cellIs" dxfId="31" priority="55" operator="equal">
      <formula>$W$1</formula>
    </cfRule>
  </conditionalFormatting>
  <conditionalFormatting sqref="D115">
    <cfRule type="cellIs" dxfId="30" priority="43" operator="equal">
      <formula>$W$1</formula>
    </cfRule>
  </conditionalFormatting>
  <conditionalFormatting sqref="H65:H114">
    <cfRule type="cellIs" dxfId="29" priority="42" operator="equal">
      <formula>"ok"</formula>
    </cfRule>
  </conditionalFormatting>
  <conditionalFormatting sqref="H65:H114">
    <cfRule type="cellIs" dxfId="28" priority="41" operator="equal">
      <formula>""</formula>
    </cfRule>
  </conditionalFormatting>
  <conditionalFormatting sqref="D18">
    <cfRule type="cellIs" dxfId="27" priority="40" operator="equal">
      <formula>"ok"</formula>
    </cfRule>
  </conditionalFormatting>
  <conditionalFormatting sqref="D39">
    <cfRule type="cellIs" dxfId="26" priority="34" operator="equal">
      <formula>"ok"</formula>
    </cfRule>
  </conditionalFormatting>
  <conditionalFormatting sqref="D137">
    <cfRule type="cellIs" dxfId="25" priority="36" operator="equal">
      <formula>"ok"</formula>
    </cfRule>
  </conditionalFormatting>
  <conditionalFormatting sqref="D133">
    <cfRule type="cellIs" dxfId="24" priority="37" operator="equal">
      <formula>"ok"</formula>
    </cfRule>
  </conditionalFormatting>
  <conditionalFormatting sqref="D51">
    <cfRule type="cellIs" dxfId="23" priority="33" operator="equal">
      <formula>"ok"</formula>
    </cfRule>
  </conditionalFormatting>
  <conditionalFormatting sqref="D29">
    <cfRule type="cellIs" dxfId="22" priority="27" operator="equal">
      <formula>"ok"</formula>
    </cfRule>
  </conditionalFormatting>
  <conditionalFormatting sqref="D131">
    <cfRule type="cellIs" dxfId="21" priority="29" operator="equal">
      <formula>"ok"</formula>
    </cfRule>
  </conditionalFormatting>
  <conditionalFormatting sqref="D139">
    <cfRule type="cellIs" dxfId="20" priority="28" operator="equal">
      <formula>"ok"</formula>
    </cfRule>
  </conditionalFormatting>
  <conditionalFormatting sqref="D33">
    <cfRule type="cellIs" dxfId="19" priority="26" operator="equal">
      <formula>"ok"</formula>
    </cfRule>
  </conditionalFormatting>
  <conditionalFormatting sqref="D188">
    <cfRule type="cellIs" dxfId="18" priority="24" operator="equal">
      <formula>"ok"</formula>
    </cfRule>
  </conditionalFormatting>
  <conditionalFormatting sqref="D191">
    <cfRule type="cellIs" dxfId="17" priority="21" operator="equal">
      <formula>"ok"</formula>
    </cfRule>
  </conditionalFormatting>
  <conditionalFormatting sqref="D189">
    <cfRule type="cellIs" dxfId="16" priority="20" operator="equal">
      <formula>"ok"</formula>
    </cfRule>
  </conditionalFormatting>
  <conditionalFormatting sqref="D152:D154">
    <cfRule type="cellIs" dxfId="15" priority="18" operator="equal">
      <formula>"ok"</formula>
    </cfRule>
  </conditionalFormatting>
  <conditionalFormatting sqref="D140 D142">
    <cfRule type="cellIs" dxfId="14" priority="17" operator="equal">
      <formula>"ok"</formula>
    </cfRule>
  </conditionalFormatting>
  <conditionalFormatting sqref="D120:D122">
    <cfRule type="cellIs" dxfId="13" priority="16" operator="equal">
      <formula>"ok"</formula>
    </cfRule>
  </conditionalFormatting>
  <conditionalFormatting sqref="D118">
    <cfRule type="cellIs" dxfId="12" priority="15" operator="equal">
      <formula>"ok"</formula>
    </cfRule>
  </conditionalFormatting>
  <conditionalFormatting sqref="D116">
    <cfRule type="cellIs" dxfId="11" priority="14" operator="equal">
      <formula>"ok"</formula>
    </cfRule>
  </conditionalFormatting>
  <conditionalFormatting sqref="D150:D151">
    <cfRule type="cellIs" dxfId="10" priority="10" operator="equal">
      <formula>"ok"</formula>
    </cfRule>
  </conditionalFormatting>
  <conditionalFormatting sqref="D61:D62">
    <cfRule type="cellIs" dxfId="9" priority="13" operator="equal">
      <formula>"ok"</formula>
    </cfRule>
  </conditionalFormatting>
  <conditionalFormatting sqref="D146:D147">
    <cfRule type="cellIs" dxfId="8" priority="12" operator="equal">
      <formula>"ok"</formula>
    </cfRule>
  </conditionalFormatting>
  <conditionalFormatting sqref="D149">
    <cfRule type="cellIs" dxfId="7" priority="11" operator="equal">
      <formula>"ok"</formula>
    </cfRule>
  </conditionalFormatting>
  <conditionalFormatting sqref="D166">
    <cfRule type="cellIs" dxfId="6" priority="8" operator="equal">
      <formula>"ok"</formula>
    </cfRule>
  </conditionalFormatting>
  <conditionalFormatting sqref="D200">
    <cfRule type="cellIs" dxfId="5" priority="7" operator="equal">
      <formula>"ok"</formula>
    </cfRule>
  </conditionalFormatting>
  <conditionalFormatting sqref="D176:D182">
    <cfRule type="cellIs" dxfId="4" priority="5" operator="equal">
      <formula>"ok"</formula>
    </cfRule>
  </conditionalFormatting>
  <conditionalFormatting sqref="D175">
    <cfRule type="cellIs" dxfId="3" priority="4" operator="equal">
      <formula>"ok"</formula>
    </cfRule>
  </conditionalFormatting>
  <conditionalFormatting sqref="D193">
    <cfRule type="cellIs" dxfId="2" priority="3" operator="equal">
      <formula>"ok"</formula>
    </cfRule>
  </conditionalFormatting>
  <conditionalFormatting sqref="D192">
    <cfRule type="cellIs" dxfId="1" priority="2" operator="equal">
      <formula>"ok"</formula>
    </cfRule>
  </conditionalFormatting>
  <conditionalFormatting sqref="D141">
    <cfRule type="cellIs" dxfId="0" priority="1" operator="equal">
      <formula>"ok"</formula>
    </cfRule>
  </conditionalFormatting>
  <dataValidations count="14">
    <dataValidation type="list" allowBlank="1" showInputMessage="1" showErrorMessage="1" sqref="B197 B142 B153:B154 B194:B195 B25 B53:B54 B42:B51 B162:B164" xr:uid="{00000000-0002-0000-0800-000000000000}">
      <formula1>"ja,nein"</formula1>
    </dataValidation>
    <dataValidation type="list" allowBlank="1" showInputMessage="1" showErrorMessage="1" sqref="B60" xr:uid="{00000000-0002-0000-0800-000001000000}">
      <formula1>$B$258:$B$260</formula1>
    </dataValidation>
    <dataValidation type="list" allowBlank="1" showInputMessage="1" showErrorMessage="1" sqref="B29" xr:uid="{00000000-0002-0000-0800-000002000000}">
      <formula1>$B$226:$B$230</formula1>
    </dataValidation>
    <dataValidation type="list" allowBlank="1" showInputMessage="1" showErrorMessage="1" sqref="B31" xr:uid="{00000000-0002-0000-0800-000003000000}">
      <formula1>$B$232:$B$249</formula1>
    </dataValidation>
    <dataValidation type="list" allowBlank="1" showInputMessage="1" showErrorMessage="1" sqref="B33" xr:uid="{00000000-0002-0000-0800-000004000000}">
      <formula1>$G$232:$G$234</formula1>
    </dataValidation>
    <dataValidation type="list" allowBlank="1" showInputMessage="1" showErrorMessage="1" sqref="B35 B37" xr:uid="{00000000-0002-0000-0800-000005000000}">
      <formula1>$G$236:$G$247</formula1>
    </dataValidation>
    <dataValidation type="list" allowBlank="1" showInputMessage="1" showErrorMessage="1" sqref="B52" xr:uid="{00000000-0002-0000-0800-000006000000}">
      <formula1>$B$251:$B$256</formula1>
    </dataValidation>
    <dataValidation type="list" allowBlank="1" showInputMessage="1" showErrorMessage="1" sqref="B56" xr:uid="{00000000-0002-0000-0800-000007000000}">
      <formula1>$G$251:$G$255</formula1>
    </dataValidation>
    <dataValidation type="list" allowBlank="1" showInputMessage="1" showErrorMessage="1" sqref="B125 B133" xr:uid="{00000000-0002-0000-0800-000008000000}">
      <formula1>$B$262:$B$292</formula1>
    </dataValidation>
    <dataValidation type="list" allowBlank="1" showInputMessage="1" showErrorMessage="1" sqref="B129:C129 B166:C166 B137:C137 B175:C175" xr:uid="{00000000-0002-0000-0800-000009000000}">
      <formula1>$G$262:$G$287</formula1>
    </dataValidation>
    <dataValidation type="list" allowBlank="1" showInputMessage="1" showErrorMessage="1" sqref="B141" xr:uid="{00000000-0002-0000-0800-00000A000000}">
      <formula1>$B$294:$B$299</formula1>
    </dataValidation>
    <dataValidation type="list" allowBlank="1" showInputMessage="1" showErrorMessage="1" sqref="B145 B149" xr:uid="{00000000-0002-0000-0800-00000B000000}">
      <formula1>$G$294:$G$299</formula1>
    </dataValidation>
    <dataValidation type="list" allowBlank="1" showInputMessage="1" showErrorMessage="1" sqref="B119" xr:uid="{00000000-0002-0000-0800-00000C000000}">
      <formula1>$G$258:$G$260</formula1>
    </dataValidation>
    <dataValidation type="list" allowBlank="1" showInputMessage="1" showErrorMessage="1" sqref="B188 B191" xr:uid="{00000000-0002-0000-0800-00000D000000}">
      <formula1>$G$301:$G$312</formula1>
    </dataValidation>
  </dataValidations>
  <pageMargins left="0.70866141732283472" right="0.70866141732283472" top="0.78740157480314965" bottom="0.78740157480314965" header="0.31496062992125984" footer="0.31496062992125984"/>
  <pageSetup paperSize="9" scale="90" fitToHeight="0" orientation="portrait" r:id="rId1"/>
  <headerFooter>
    <oddFooter>&amp;L&amp;G&amp;C&amp;"Arial,Standard"&amp;9A. Maas und K. Höttges
V4.0, April 2023&amp;R&amp;"Arial,Standard"&amp;9Berechnungsblatt GEG 2023, Blatt '&amp;A'
Seite &amp;P von &amp;N</oddFooter>
  </headerFooter>
  <rowBreaks count="2" manualBreakCount="2">
    <brk id="54" max="7" man="1"/>
    <brk id="142" max="7"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145" r:id="rId5" name="Button 1">
              <controlPr defaultSize="0" print="0" autoFill="0" autoPict="0" macro="[0]!ZeilenEinAusBlendenAlle">
                <anchor moveWithCells="1">
                  <from>
                    <xdr:col>8</xdr:col>
                    <xdr:colOff>30480</xdr:colOff>
                    <xdr:row>0</xdr:row>
                    <xdr:rowOff>0</xdr:rowOff>
                  </from>
                  <to>
                    <xdr:col>8</xdr:col>
                    <xdr:colOff>220980</xdr:colOff>
                    <xdr:row>1</xdr:row>
                    <xdr:rowOff>22860</xdr:rowOff>
                  </to>
                </anchor>
              </controlPr>
            </control>
          </mc:Choice>
        </mc:AlternateContent>
        <mc:AlternateContent xmlns:mc="http://schemas.openxmlformats.org/markup-compatibility/2006">
          <mc:Choice Requires="x14">
            <control shapeId="6146" r:id="rId6" name="Button 2">
              <controlPr defaultSize="0" print="0" autoFill="0" autoPict="0" macro="[0]!ZeilenEinAusBlendenEinzeln">
                <anchor moveWithCells="1">
                  <from>
                    <xdr:col>8</xdr:col>
                    <xdr:colOff>30480</xdr:colOff>
                    <xdr:row>14</xdr:row>
                    <xdr:rowOff>22860</xdr:rowOff>
                  </from>
                  <to>
                    <xdr:col>8</xdr:col>
                    <xdr:colOff>220980</xdr:colOff>
                    <xdr:row>14</xdr:row>
                    <xdr:rowOff>213360</xdr:rowOff>
                  </to>
                </anchor>
              </controlPr>
            </control>
          </mc:Choice>
        </mc:AlternateContent>
        <mc:AlternateContent xmlns:mc="http://schemas.openxmlformats.org/markup-compatibility/2006">
          <mc:Choice Requires="x14">
            <control shapeId="6147" r:id="rId7" name="Button 3">
              <controlPr defaultSize="0" print="0" autoFill="0" autoPict="0" macro="[0]!ZeilenEinAusBlendenEinzeln">
                <anchor moveWithCells="1">
                  <from>
                    <xdr:col>8</xdr:col>
                    <xdr:colOff>30480</xdr:colOff>
                    <xdr:row>26</xdr:row>
                    <xdr:rowOff>38100</xdr:rowOff>
                  </from>
                  <to>
                    <xdr:col>8</xdr:col>
                    <xdr:colOff>220980</xdr:colOff>
                    <xdr:row>27</xdr:row>
                    <xdr:rowOff>0</xdr:rowOff>
                  </to>
                </anchor>
              </controlPr>
            </control>
          </mc:Choice>
        </mc:AlternateContent>
        <mc:AlternateContent xmlns:mc="http://schemas.openxmlformats.org/markup-compatibility/2006">
          <mc:Choice Requires="x14">
            <control shapeId="6148" r:id="rId8" name="Button 4">
              <controlPr defaultSize="0" print="0" autoFill="0" autoPict="0" macro="[0]!XMLAusweisExport">
                <anchor>
                  <from>
                    <xdr:col>12</xdr:col>
                    <xdr:colOff>792480</xdr:colOff>
                    <xdr:row>5</xdr:row>
                    <xdr:rowOff>137160</xdr:rowOff>
                  </from>
                  <to>
                    <xdr:col>26</xdr:col>
                    <xdr:colOff>205740</xdr:colOff>
                    <xdr:row>7</xdr:row>
                    <xdr:rowOff>0</xdr:rowOff>
                  </to>
                </anchor>
              </controlPr>
            </control>
          </mc:Choice>
        </mc:AlternateContent>
        <mc:AlternateContent xmlns:mc="http://schemas.openxmlformats.org/markup-compatibility/2006">
          <mc:Choice Requires="x14">
            <control shapeId="6149" r:id="rId9" name="Button 5">
              <controlPr defaultSize="0" print="0" autoFill="0" autoPict="0" macro="[0]!ZeilenEinAusBlendenEinzeln">
                <anchor moveWithCells="1">
                  <from>
                    <xdr:col>8</xdr:col>
                    <xdr:colOff>30480</xdr:colOff>
                    <xdr:row>54</xdr:row>
                    <xdr:rowOff>22860</xdr:rowOff>
                  </from>
                  <to>
                    <xdr:col>8</xdr:col>
                    <xdr:colOff>220980</xdr:colOff>
                    <xdr:row>54</xdr:row>
                    <xdr:rowOff>213360</xdr:rowOff>
                  </to>
                </anchor>
              </controlPr>
            </control>
          </mc:Choice>
        </mc:AlternateContent>
        <mc:AlternateContent xmlns:mc="http://schemas.openxmlformats.org/markup-compatibility/2006">
          <mc:Choice Requires="x14">
            <control shapeId="6150" r:id="rId10" name="Button 6">
              <controlPr defaultSize="0" print="0" autoFill="0" autoPict="0" macro="[0]!ZeilenEinAusBlendenEinzeln">
                <anchor moveWithCells="1">
                  <from>
                    <xdr:col>8</xdr:col>
                    <xdr:colOff>30480</xdr:colOff>
                    <xdr:row>58</xdr:row>
                    <xdr:rowOff>38100</xdr:rowOff>
                  </from>
                  <to>
                    <xdr:col>8</xdr:col>
                    <xdr:colOff>220980</xdr:colOff>
                    <xdr:row>59</xdr:row>
                    <xdr:rowOff>22860</xdr:rowOff>
                  </to>
                </anchor>
              </controlPr>
            </control>
          </mc:Choice>
        </mc:AlternateContent>
        <mc:AlternateContent xmlns:mc="http://schemas.openxmlformats.org/markup-compatibility/2006">
          <mc:Choice Requires="x14">
            <control shapeId="6722" r:id="rId11" name="Button 578">
              <controlPr defaultSize="0" print="0" autoFill="0" autoPict="0" macro="[0]!ZeilenEinAusBlendenEinzeln">
                <anchor moveWithCells="1">
                  <from>
                    <xdr:col>8</xdr:col>
                    <xdr:colOff>22860</xdr:colOff>
                    <xdr:row>62</xdr:row>
                    <xdr:rowOff>45720</xdr:rowOff>
                  </from>
                  <to>
                    <xdr:col>8</xdr:col>
                    <xdr:colOff>213360</xdr:colOff>
                    <xdr:row>63</xdr:row>
                    <xdr:rowOff>7620</xdr:rowOff>
                  </to>
                </anchor>
              </controlPr>
            </control>
          </mc:Choice>
        </mc:AlternateContent>
        <mc:AlternateContent xmlns:mc="http://schemas.openxmlformats.org/markup-compatibility/2006">
          <mc:Choice Requires="x14">
            <control shapeId="6725" r:id="rId12" name="Button 581">
              <controlPr defaultSize="0" print="0" autoFill="0" autoPict="0" macro="[0]!ZeilenEinAusBlendenEinzeln">
                <anchor moveWithCells="1">
                  <from>
                    <xdr:col>8</xdr:col>
                    <xdr:colOff>30480</xdr:colOff>
                    <xdr:row>122</xdr:row>
                    <xdr:rowOff>60960</xdr:rowOff>
                  </from>
                  <to>
                    <xdr:col>8</xdr:col>
                    <xdr:colOff>220980</xdr:colOff>
                    <xdr:row>123</xdr:row>
                    <xdr:rowOff>0</xdr:rowOff>
                  </to>
                </anchor>
              </controlPr>
            </control>
          </mc:Choice>
        </mc:AlternateContent>
        <mc:AlternateContent xmlns:mc="http://schemas.openxmlformats.org/markup-compatibility/2006">
          <mc:Choice Requires="x14">
            <control shapeId="6726" r:id="rId13" name="Button 582">
              <controlPr defaultSize="0" print="0" autoFill="0" autoPict="0" macro="[0]!ZeilenEinAusBlendenEinzeln">
                <anchor moveWithCells="1">
                  <from>
                    <xdr:col>8</xdr:col>
                    <xdr:colOff>30480</xdr:colOff>
                    <xdr:row>142</xdr:row>
                    <xdr:rowOff>22860</xdr:rowOff>
                  </from>
                  <to>
                    <xdr:col>8</xdr:col>
                    <xdr:colOff>220980</xdr:colOff>
                    <xdr:row>143</xdr:row>
                    <xdr:rowOff>0</xdr:rowOff>
                  </to>
                </anchor>
              </controlPr>
            </control>
          </mc:Choice>
        </mc:AlternateContent>
        <mc:AlternateContent xmlns:mc="http://schemas.openxmlformats.org/markup-compatibility/2006">
          <mc:Choice Requires="x14">
            <control shapeId="6727" r:id="rId14" name="Button 583">
              <controlPr defaultSize="0" print="0" autoFill="0" autoPict="0" macro="[0]!ZeilenEinAusBlendenEinzeln">
                <anchor moveWithCells="1">
                  <from>
                    <xdr:col>8</xdr:col>
                    <xdr:colOff>30480</xdr:colOff>
                    <xdr:row>154</xdr:row>
                    <xdr:rowOff>22860</xdr:rowOff>
                  </from>
                  <to>
                    <xdr:col>8</xdr:col>
                    <xdr:colOff>220980</xdr:colOff>
                    <xdr:row>154</xdr:row>
                    <xdr:rowOff>213360</xdr:rowOff>
                  </to>
                </anchor>
              </controlPr>
            </control>
          </mc:Choice>
        </mc:AlternateContent>
        <mc:AlternateContent xmlns:mc="http://schemas.openxmlformats.org/markup-compatibility/2006">
          <mc:Choice Requires="x14">
            <control shapeId="12217" r:id="rId15" name="Button 3001">
              <controlPr defaultSize="0" print="0" autoFill="0" autoPict="0" macro="[0]!KnopfPreview">
                <anchor>
                  <from>
                    <xdr:col>12</xdr:col>
                    <xdr:colOff>792480</xdr:colOff>
                    <xdr:row>7</xdr:row>
                    <xdr:rowOff>22860</xdr:rowOff>
                  </from>
                  <to>
                    <xdr:col>26</xdr:col>
                    <xdr:colOff>205740</xdr:colOff>
                    <xdr:row>8</xdr:row>
                    <xdr:rowOff>76200</xdr:rowOff>
                  </to>
                </anchor>
              </controlPr>
            </control>
          </mc:Choice>
        </mc:AlternateContent>
        <mc:AlternateContent xmlns:mc="http://schemas.openxmlformats.org/markup-compatibility/2006">
          <mc:Choice Requires="x14">
            <control shapeId="16414" r:id="rId16" name="stLilaAnAus">
              <controlPr defaultSize="0" print="0" autoFill="0" autoPict="0" macro="[0]!LilaAnAus">
                <anchor>
                  <from>
                    <xdr:col>26</xdr:col>
                    <xdr:colOff>152400</xdr:colOff>
                    <xdr:row>0</xdr:row>
                    <xdr:rowOff>7620</xdr:rowOff>
                  </from>
                  <to>
                    <xdr:col>28</xdr:col>
                    <xdr:colOff>312420</xdr:colOff>
                    <xdr:row>1</xdr:row>
                    <xdr:rowOff>30480</xdr:rowOff>
                  </to>
                </anchor>
              </controlPr>
            </control>
          </mc:Choice>
        </mc:AlternateContent>
        <mc:AlternateContent xmlns:mc="http://schemas.openxmlformats.org/markup-compatibility/2006">
          <mc:Choice Requires="x14">
            <control shapeId="16415" r:id="rId17" name="Button 3103">
              <controlPr defaultSize="0" print="0" autoFill="0" autoPict="0" macro="[0]!ZeilenEinAusBlendenEinzeln">
                <anchor moveWithCells="1">
                  <from>
                    <xdr:col>8</xdr:col>
                    <xdr:colOff>30480</xdr:colOff>
                    <xdr:row>3</xdr:row>
                    <xdr:rowOff>22860</xdr:rowOff>
                  </from>
                  <to>
                    <xdr:col>8</xdr:col>
                    <xdr:colOff>220980</xdr:colOff>
                    <xdr:row>3</xdr:row>
                    <xdr:rowOff>213360</xdr:rowOff>
                  </to>
                </anchor>
              </controlPr>
            </control>
          </mc:Choice>
        </mc:AlternateContent>
        <mc:AlternateContent xmlns:mc="http://schemas.openxmlformats.org/markup-compatibility/2006">
          <mc:Choice Requires="x14">
            <control shapeId="16416" r:id="rId18" name="Button 3104">
              <controlPr defaultSize="0" print="0" autoFill="0" autoPict="0" macro="[0]!ZeilenEinAusBlendenEinzeln">
                <anchor moveWithCells="1">
                  <from>
                    <xdr:col>8</xdr:col>
                    <xdr:colOff>30480</xdr:colOff>
                    <xdr:row>197</xdr:row>
                    <xdr:rowOff>22860</xdr:rowOff>
                  </from>
                  <to>
                    <xdr:col>8</xdr:col>
                    <xdr:colOff>220980</xdr:colOff>
                    <xdr:row>197</xdr:row>
                    <xdr:rowOff>213360</xdr:rowOff>
                  </to>
                </anchor>
              </controlPr>
            </control>
          </mc:Choice>
        </mc:AlternateContent>
        <mc:AlternateContent xmlns:mc="http://schemas.openxmlformats.org/markup-compatibility/2006">
          <mc:Choice Requires="x14">
            <control shapeId="16418" r:id="rId19" name="Button 3106">
              <controlPr defaultSize="0" print="0" autoFill="0" autoPict="0" macro="[0]!ZeilenEinAusBlendenEinzeln">
                <anchor moveWithCells="1">
                  <from>
                    <xdr:col>8</xdr:col>
                    <xdr:colOff>30480</xdr:colOff>
                    <xdr:row>116</xdr:row>
                    <xdr:rowOff>60960</xdr:rowOff>
                  </from>
                  <to>
                    <xdr:col>8</xdr:col>
                    <xdr:colOff>220980</xdr:colOff>
                    <xdr:row>117</xdr:row>
                    <xdr:rowOff>22860</xdr:rowOff>
                  </to>
                </anchor>
              </controlPr>
            </control>
          </mc:Choice>
        </mc:AlternateContent>
        <mc:AlternateContent xmlns:mc="http://schemas.openxmlformats.org/markup-compatibility/2006">
          <mc:Choice Requires="x14">
            <control shapeId="16423" r:id="rId20" name="Button 3111">
              <controlPr defaultSize="0" print="0" autoFill="0" autoPict="0" macro="[0]!ZeilenEinAusBlendenEinzeln">
                <anchor moveWithCells="1">
                  <from>
                    <xdr:col>8</xdr:col>
                    <xdr:colOff>30480</xdr:colOff>
                    <xdr:row>114</xdr:row>
                    <xdr:rowOff>38100</xdr:rowOff>
                  </from>
                  <to>
                    <xdr:col>8</xdr:col>
                    <xdr:colOff>220980</xdr:colOff>
                    <xdr:row>115</xdr:row>
                    <xdr:rowOff>22860</xdr:rowOff>
                  </to>
                </anchor>
              </controlPr>
            </control>
          </mc:Choice>
        </mc:AlternateContent>
        <mc:AlternateContent xmlns:mc="http://schemas.openxmlformats.org/markup-compatibility/2006">
          <mc:Choice Requires="x14">
            <control shapeId="16425" r:id="rId21" name="Button 3113">
              <controlPr defaultSize="0" print="0" autoFill="0" autoPict="0" macro="[0]!SpaltenEinAusBlendenEinzeln">
                <anchor moveWithCells="1">
                  <from>
                    <xdr:col>9</xdr:col>
                    <xdr:colOff>22860</xdr:colOff>
                    <xdr:row>1</xdr:row>
                    <xdr:rowOff>22860</xdr:rowOff>
                  </from>
                  <to>
                    <xdr:col>9</xdr:col>
                    <xdr:colOff>213360</xdr:colOff>
                    <xdr:row>2</xdr:row>
                    <xdr:rowOff>53340</xdr:rowOff>
                  </to>
                </anchor>
              </controlPr>
            </control>
          </mc:Choice>
        </mc:AlternateContent>
        <mc:AlternateContent xmlns:mc="http://schemas.openxmlformats.org/markup-compatibility/2006">
          <mc:Choice Requires="x14">
            <control shapeId="16427" r:id="rId22" name="Button 3115">
              <controlPr defaultSize="0" print="0" autoFill="0" autoPict="0" macro="[0]!KnopfZertifizieren">
                <anchor>
                  <from>
                    <xdr:col>12</xdr:col>
                    <xdr:colOff>792480</xdr:colOff>
                    <xdr:row>8</xdr:row>
                    <xdr:rowOff>114300</xdr:rowOff>
                  </from>
                  <to>
                    <xdr:col>26</xdr:col>
                    <xdr:colOff>205740</xdr:colOff>
                    <xdr:row>9</xdr:row>
                    <xdr:rowOff>152400</xdr:rowOff>
                  </to>
                </anchor>
              </controlPr>
            </control>
          </mc:Choice>
        </mc:AlternateContent>
        <mc:AlternateContent xmlns:mc="http://schemas.openxmlformats.org/markup-compatibility/2006">
          <mc:Choice Requires="x14">
            <control shapeId="16428" r:id="rId23" name="Group Box 3116">
              <controlPr defaultSize="0" autoFill="0" autoPict="0">
                <anchor>
                  <from>
                    <xdr:col>12</xdr:col>
                    <xdr:colOff>716280</xdr:colOff>
                    <xdr:row>4</xdr:row>
                    <xdr:rowOff>190500</xdr:rowOff>
                  </from>
                  <to>
                    <xdr:col>26</xdr:col>
                    <xdr:colOff>373380</xdr:colOff>
                    <xdr:row>10</xdr:row>
                    <xdr:rowOff>0</xdr:rowOff>
                  </to>
                </anchor>
              </controlPr>
            </control>
          </mc:Choice>
        </mc:AlternateContent>
        <mc:AlternateContent xmlns:mc="http://schemas.openxmlformats.org/markup-compatibility/2006">
          <mc:Choice Requires="x14">
            <control shapeId="16429" r:id="rId24" name="Button 3117">
              <controlPr defaultSize="0" print="0" autoFill="0" autoPict="0" macro="[0]!Leeren">
                <anchor>
                  <from>
                    <xdr:col>28</xdr:col>
                    <xdr:colOff>449580</xdr:colOff>
                    <xdr:row>0</xdr:row>
                    <xdr:rowOff>0</xdr:rowOff>
                  </from>
                  <to>
                    <xdr:col>30</xdr:col>
                    <xdr:colOff>167640</xdr:colOff>
                    <xdr:row>1</xdr:row>
                    <xdr:rowOff>45720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526</vt:i4>
      </vt:variant>
    </vt:vector>
  </HeadingPairs>
  <TitlesOfParts>
    <vt:vector size="535" baseType="lpstr">
      <vt:lpstr>Deckblatt</vt:lpstr>
      <vt:lpstr>Gebaeude</vt:lpstr>
      <vt:lpstr>Referenz</vt:lpstr>
      <vt:lpstr>Bauteile</vt:lpstr>
      <vt:lpstr>Geometrie</vt:lpstr>
      <vt:lpstr>Technik</vt:lpstr>
      <vt:lpstr>Graphisch</vt:lpstr>
      <vt:lpstr>Tabellen</vt:lpstr>
      <vt:lpstr>Energieausweis</vt:lpstr>
      <vt:lpstr>aAlle</vt:lpstr>
      <vt:lpstr>Energieausweis!aAltersklasseGebaeude</vt:lpstr>
      <vt:lpstr>Energieausweis!aAltersklasseWaermeerzeuger</vt:lpstr>
      <vt:lpstr>aAngabenerhaeltlich</vt:lpstr>
      <vt:lpstr>aangerechneterlokalererneuerbarerStrom</vt:lpstr>
      <vt:lpstr>aAnteilderPflichterfuellung1</vt:lpstr>
      <vt:lpstr>aAnteilderPflichterfuellung2</vt:lpstr>
      <vt:lpstr>aAnzahlbaugleiche1</vt:lpstr>
      <vt:lpstr>aAnzahlbaugleiche2</vt:lpstr>
      <vt:lpstr>aAnzahlbaugleicheWW1</vt:lpstr>
      <vt:lpstr>Energieausweis!aAnzahlbaugleicheWW2</vt:lpstr>
      <vt:lpstr>aAnzahlWohneinheiten</vt:lpstr>
      <vt:lpstr>aArtderNutzungerneuerbarenEnergie1</vt:lpstr>
      <vt:lpstr>aArtderNutzungerneuerbarenEnergie2</vt:lpstr>
      <vt:lpstr>Energieausweis!aAusstellerBezeichnung</vt:lpstr>
      <vt:lpstr>Energieausweis!aAusstellername</vt:lpstr>
      <vt:lpstr>Energieausweis!aAusstellerOrt</vt:lpstr>
      <vt:lpstr>Energieausweis!aAusstellerPLZ</vt:lpstr>
      <vt:lpstr>Energieausweis!aAusstellerStrasseNr</vt:lpstr>
      <vt:lpstr>Energieausweis!aAusstellervorname</vt:lpstr>
      <vt:lpstr>Energieausweis!aAusstellungsanlass</vt:lpstr>
      <vt:lpstr>Energieausweis!aAusstellungsdatum</vt:lpstr>
      <vt:lpstr>Energieausweis!aBaujahrGebaeude</vt:lpstr>
      <vt:lpstr>Energieausweis!aBaujahrWaermeerzeuger</vt:lpstr>
      <vt:lpstr>aBruttovolumen</vt:lpstr>
      <vt:lpstr>Energieausweis!aBundesland</vt:lpstr>
      <vt:lpstr>aDateien</vt:lpstr>
      <vt:lpstr>Energieausweis!aDatenerhebungAussteller</vt:lpstr>
      <vt:lpstr>Energieausweis!aDatenerhebungEigentuemer</vt:lpstr>
      <vt:lpstr>aDeckungsanteil1</vt:lpstr>
      <vt:lpstr>aDeckungsanteil2</vt:lpstr>
      <vt:lpstr>adurchschnittlicheGeschosshoehe</vt:lpstr>
      <vt:lpstr>aEmissionsfaktor1</vt:lpstr>
      <vt:lpstr>aEmissionsfaktor2</vt:lpstr>
      <vt:lpstr>Energieausweis!aEmpfehlungenmoeglich</vt:lpstr>
      <vt:lpstr>aEndenergiebedarfBeleuchtungspezifisch1</vt:lpstr>
      <vt:lpstr>aEndenergiebedarfBeleuchtungspezifisch2</vt:lpstr>
      <vt:lpstr>aEndenergiebedarfEnergietraegerGesamtgebaeudespezifisch1</vt:lpstr>
      <vt:lpstr>aEndenergiebedarfEnergietraegerGesamtgebaeudespezifisch2</vt:lpstr>
      <vt:lpstr>aEndenergiebedarfGesamt</vt:lpstr>
      <vt:lpstr>aEndenergiebedarfHeizungspezifisch1</vt:lpstr>
      <vt:lpstr>aEndenergiebedarfHeizungspezifisch2</vt:lpstr>
      <vt:lpstr>aEndenergiebedarfHilfsenergieAN</vt:lpstr>
      <vt:lpstr>aEndenergiebedarfHoechstwertNeubau</vt:lpstr>
      <vt:lpstr>aEndenergiebedarfKuehlungBefeuchtungspezifisch1</vt:lpstr>
      <vt:lpstr>aEndenergiebedarfKuehlungBefeuchtungspezifisch2</vt:lpstr>
      <vt:lpstr>aEndenergiebedarfLueftungspezifisch1</vt:lpstr>
      <vt:lpstr>aEndenergiebedarfLueftungspezifisch2</vt:lpstr>
      <vt:lpstr>aEndenergiebedarfTrinkwarmwasserspezifisch1</vt:lpstr>
      <vt:lpstr>aEndenergiebedarfTrinkwarmwasserspezifisch2</vt:lpstr>
      <vt:lpstr>aEndenergiebedarfWaermeAN</vt:lpstr>
      <vt:lpstr>aEnergieeffizienzklasse</vt:lpstr>
      <vt:lpstr>aEnergietraeger1</vt:lpstr>
      <vt:lpstr>Energieausweis!aEnergietraeger2</vt:lpstr>
      <vt:lpstr>aEnergietraegerbezeichnung1</vt:lpstr>
      <vt:lpstr>aEnergietraegerbezeichnung2</vt:lpstr>
      <vt:lpstr>Energieausweis!aErneuerbareArt</vt:lpstr>
      <vt:lpstr>Energieausweis!aErneuerbareVerwendung</vt:lpstr>
      <vt:lpstr>aExeName</vt:lpstr>
      <vt:lpstr>Energieausweis!aGebaeudeadresseOrt</vt:lpstr>
      <vt:lpstr>Energieausweis!aGebaeudeadressePostleitzahl</vt:lpstr>
      <vt:lpstr>Energieausweis!aGebaeudeadresseStrasseNr</vt:lpstr>
      <vt:lpstr>aGebaeudenutzflaeche</vt:lpstr>
      <vt:lpstr>Energieausweis!aGebaeudeteil</vt:lpstr>
      <vt:lpstr>Energieausweis!aGebaeudetyp</vt:lpstr>
      <vt:lpstr>Energieausweis!aHeizkreisauslegungstemperatur</vt:lpstr>
      <vt:lpstr>Energieausweis!aHeizungsanlageinnerhalbHuelle</vt:lpstr>
      <vt:lpstr>aHilf</vt:lpstr>
      <vt:lpstr>aHuell</vt:lpstr>
      <vt:lpstr>aHuell2017dazu</vt:lpstr>
      <vt:lpstr>aInnovationsklausel</vt:lpstr>
      <vt:lpstr>ainterneWaermegewinne</vt:lpstr>
      <vt:lpstr>aKeineinspektionspflichtigeAnlage</vt:lpstr>
      <vt:lpstr>aKeineModernisierungErweiterungVorhaben</vt:lpstr>
      <vt:lpstr>aKuehlungsartgelieferteKaelte</vt:lpstr>
      <vt:lpstr>Energieausweis!aKuehlungsartpassiveKuehlung</vt:lpstr>
      <vt:lpstr>aKuehlungsartStrom</vt:lpstr>
      <vt:lpstr>aKuehlungsartWaerme</vt:lpstr>
      <vt:lpstr>Energieausweis!aLueftungsartAnlagemWRG</vt:lpstr>
      <vt:lpstr>Energieausweis!aLueftungsartAnlageoWRG</vt:lpstr>
      <vt:lpstr>Energieausweis!aLueftungsartFensterlueftung</vt:lpstr>
      <vt:lpstr>Energieausweis!aLueftungsartSchachtlueftung</vt:lpstr>
      <vt:lpstr>aLueftungswaermeverlust</vt:lpstr>
      <vt:lpstr>Energieausweis!aLuftdichtheit</vt:lpstr>
      <vt:lpstr>aNennleistung1</vt:lpstr>
      <vt:lpstr>Energieausweis!aNennleistung2</vt:lpstr>
      <vt:lpstr>anichtverschaerftnachGEG34</vt:lpstr>
      <vt:lpstr>aPostleitzahl</vt:lpstr>
      <vt:lpstr>aPrimaerenergiebedarf</vt:lpstr>
      <vt:lpstr>aPrimaerenergiebedarfHoechstwertBestand</vt:lpstr>
      <vt:lpstr>aPrimaerenergiebedarfHoechstwertNeubau</vt:lpstr>
      <vt:lpstr>aPrimaerenergiefaktor1</vt:lpstr>
      <vt:lpstr>Energieausweis!aPrimaerenergiefaktor2</vt:lpstr>
      <vt:lpstr>aPrimaerenergiefaktorListe1</vt:lpstr>
      <vt:lpstr>aPrimaerenergiefaktorListe2</vt:lpstr>
      <vt:lpstr>Energieausweis!aPufferspeicherNenninhalt</vt:lpstr>
      <vt:lpstr>aQuartiersregelung</vt:lpstr>
      <vt:lpstr>aRechtsstand</vt:lpstr>
      <vt:lpstr>aRechtsstandGrund</vt:lpstr>
      <vt:lpstr>aReistriernummerAnAus</vt:lpstr>
      <vt:lpstr>aSoftwareherstellerProgrammVersion</vt:lpstr>
      <vt:lpstr>asolareWaermegewinne</vt:lpstr>
      <vt:lpstr>Energieausweis!aSommerlicherWaermeschutz</vt:lpstr>
      <vt:lpstr>aspezifischerTransmissionswaermeverlustHoechstwert</vt:lpstr>
      <vt:lpstr>aspezifischerTransmissionswaermeverlustIst</vt:lpstr>
      <vt:lpstr>aspezifischerTransmissionswaermeverlustverschaerft</vt:lpstr>
      <vt:lpstr>aTransmissionswaermeverlust</vt:lpstr>
      <vt:lpstr>aTreibhausgasemissionen</vt:lpstr>
      <vt:lpstr>aTreibhausgasemissionenHoechstwertNeubau</vt:lpstr>
      <vt:lpstr>aTrinkwarmwassererzeugerBaujahr1</vt:lpstr>
      <vt:lpstr>Energieausweis!aTrinkwarmwassererzeugerBaujahr2</vt:lpstr>
      <vt:lpstr>aTrinkwarmwassererzeugerBauweise1</vt:lpstr>
      <vt:lpstr>Energieausweis!aTrinkwarmwassererzeugerBauweise2</vt:lpstr>
      <vt:lpstr>Energieausweis!aTrinkwarmwasserspeicherNenninhalt</vt:lpstr>
      <vt:lpstr>Energieausweis!aTrinkwarmwasserverteilungZirkulation</vt:lpstr>
      <vt:lpstr>Energieausweis!aVereinfachteDatenaufnahme</vt:lpstr>
      <vt:lpstr>averschaerftnachGEG45eingehalten</vt:lpstr>
      <vt:lpstr>aVersionEnEV</vt:lpstr>
      <vt:lpstr>aWaermebrueckenzuschlag</vt:lpstr>
      <vt:lpstr>aWaermeerzeugerBaujahr1</vt:lpstr>
      <vt:lpstr>aWaermeerzeugerBaujahr2</vt:lpstr>
      <vt:lpstr>aWaermeerzeugerBauweise1</vt:lpstr>
      <vt:lpstr>Energieausweis!aWaermeerzeugerBauweise2</vt:lpstr>
      <vt:lpstr>Energieausweis!awesentlicheEnergietraegerHeizung</vt:lpstr>
      <vt:lpstr>awesentlicheEnergietraegerWarmwasser</vt:lpstr>
      <vt:lpstr>Energieausweis!aWohngebaeudeAnbaugrad</vt:lpstr>
      <vt:lpstr>Energieausweis!aZusatzinfosbeigefuegt</vt:lpstr>
      <vt:lpstr>Bauteile!b01_alf</vt:lpstr>
      <vt:lpstr>Bauteile!b01_Art</vt:lpstr>
      <vt:lpstr>Bauteile!b01_b</vt:lpstr>
      <vt:lpstr>Bauteile!b01_d</vt:lpstr>
      <vt:lpstr>Bauteile!b01_Name</vt:lpstr>
      <vt:lpstr>Bauteile!b01_Notiz</vt:lpstr>
      <vt:lpstr>Bauteile!b01_Quelle</vt:lpstr>
      <vt:lpstr>Bauteile!b01_si</vt:lpstr>
      <vt:lpstr>Bauteile!b01_Stoff</vt:lpstr>
      <vt:lpstr>Bauteile!b01_x</vt:lpstr>
      <vt:lpstr>Bauteile!b02_alf</vt:lpstr>
      <vt:lpstr>Bauteile!b02_Art</vt:lpstr>
      <vt:lpstr>Bauteile!b02_b</vt:lpstr>
      <vt:lpstr>Bauteile!b02_d</vt:lpstr>
      <vt:lpstr>Bauteile!b02_Name</vt:lpstr>
      <vt:lpstr>Bauteile!b02_Notiz</vt:lpstr>
      <vt:lpstr>Bauteile!b02_Quelle</vt:lpstr>
      <vt:lpstr>Bauteile!b02_si</vt:lpstr>
      <vt:lpstr>Bauteile!b02_Stoff</vt:lpstr>
      <vt:lpstr>Bauteile!b02_x</vt:lpstr>
      <vt:lpstr>Bauteile!b03_alf</vt:lpstr>
      <vt:lpstr>Bauteile!b03_Art</vt:lpstr>
      <vt:lpstr>Bauteile!b03_b</vt:lpstr>
      <vt:lpstr>Bauteile!b03_d</vt:lpstr>
      <vt:lpstr>Bauteile!b03_Name</vt:lpstr>
      <vt:lpstr>Bauteile!b03_Notiz</vt:lpstr>
      <vt:lpstr>Bauteile!b03_Quelle</vt:lpstr>
      <vt:lpstr>Bauteile!b03_si</vt:lpstr>
      <vt:lpstr>Bauteile!b03_Stoff</vt:lpstr>
      <vt:lpstr>Bauteile!b03_x</vt:lpstr>
      <vt:lpstr>Bauteile!b04_alf</vt:lpstr>
      <vt:lpstr>Bauteile!b04_Art</vt:lpstr>
      <vt:lpstr>Bauteile!b04_b</vt:lpstr>
      <vt:lpstr>Bauteile!b04_d</vt:lpstr>
      <vt:lpstr>Bauteile!b04_Name</vt:lpstr>
      <vt:lpstr>Bauteile!b04_Notiz</vt:lpstr>
      <vt:lpstr>Bauteile!b04_Quelle</vt:lpstr>
      <vt:lpstr>Bauteile!b04_si</vt:lpstr>
      <vt:lpstr>Bauteile!b04_Stoff</vt:lpstr>
      <vt:lpstr>Bauteile!b04_x</vt:lpstr>
      <vt:lpstr>Bauteile!b05_alf</vt:lpstr>
      <vt:lpstr>Bauteile!b05_Art</vt:lpstr>
      <vt:lpstr>Bauteile!b05_b</vt:lpstr>
      <vt:lpstr>Bauteile!b05_d</vt:lpstr>
      <vt:lpstr>Bauteile!b05_Name</vt:lpstr>
      <vt:lpstr>Bauteile!b05_Notiz</vt:lpstr>
      <vt:lpstr>Bauteile!b05_Quelle</vt:lpstr>
      <vt:lpstr>Bauteile!b05_si</vt:lpstr>
      <vt:lpstr>Bauteile!b05_Stoff</vt:lpstr>
      <vt:lpstr>Bauteile!b05_x</vt:lpstr>
      <vt:lpstr>Bauteile!b06_alf</vt:lpstr>
      <vt:lpstr>Bauteile!b06_Art</vt:lpstr>
      <vt:lpstr>Bauteile!b06_b</vt:lpstr>
      <vt:lpstr>Bauteile!b06_d</vt:lpstr>
      <vt:lpstr>Bauteile!b06_Name</vt:lpstr>
      <vt:lpstr>Bauteile!b06_Notiz</vt:lpstr>
      <vt:lpstr>Bauteile!b06_Quelle</vt:lpstr>
      <vt:lpstr>Bauteile!b06_si</vt:lpstr>
      <vt:lpstr>Bauteile!b06_Stoff</vt:lpstr>
      <vt:lpstr>Bauteile!b06_x</vt:lpstr>
      <vt:lpstr>Bauteile!b07_alf</vt:lpstr>
      <vt:lpstr>Bauteile!b07_Art</vt:lpstr>
      <vt:lpstr>Bauteile!b07_b</vt:lpstr>
      <vt:lpstr>Bauteile!b07_d</vt:lpstr>
      <vt:lpstr>Bauteile!b07_Name</vt:lpstr>
      <vt:lpstr>Bauteile!b07_Notiz</vt:lpstr>
      <vt:lpstr>Bauteile!b07_Quelle</vt:lpstr>
      <vt:lpstr>Bauteile!b07_si</vt:lpstr>
      <vt:lpstr>Bauteile!b07_Stoff</vt:lpstr>
      <vt:lpstr>Bauteile!b07_x</vt:lpstr>
      <vt:lpstr>Bauteile!b08_alf</vt:lpstr>
      <vt:lpstr>Bauteile!b08_Art</vt:lpstr>
      <vt:lpstr>Bauteile!b08_b</vt:lpstr>
      <vt:lpstr>Bauteile!b08_d</vt:lpstr>
      <vt:lpstr>Bauteile!b08_Name</vt:lpstr>
      <vt:lpstr>Bauteile!b08_Notiz</vt:lpstr>
      <vt:lpstr>Bauteile!b08_Quelle</vt:lpstr>
      <vt:lpstr>Bauteile!b08_si</vt:lpstr>
      <vt:lpstr>Bauteile!b08_Stoff</vt:lpstr>
      <vt:lpstr>Bauteile!b08_x</vt:lpstr>
      <vt:lpstr>Bauteile!b09_alf</vt:lpstr>
      <vt:lpstr>Bauteile!b09_Art</vt:lpstr>
      <vt:lpstr>Bauteile!b09_b</vt:lpstr>
      <vt:lpstr>Bauteile!b09_d</vt:lpstr>
      <vt:lpstr>Bauteile!b09_Name</vt:lpstr>
      <vt:lpstr>Bauteile!b09_Notiz</vt:lpstr>
      <vt:lpstr>Bauteile!b09_Quelle</vt:lpstr>
      <vt:lpstr>Bauteile!b09_si</vt:lpstr>
      <vt:lpstr>Bauteile!b09_Stoff</vt:lpstr>
      <vt:lpstr>Bauteile!b09_x</vt:lpstr>
      <vt:lpstr>Bauteile!b10_alf</vt:lpstr>
      <vt:lpstr>Bauteile!b10_Art</vt:lpstr>
      <vt:lpstr>Bauteile!b10_b</vt:lpstr>
      <vt:lpstr>Bauteile!b10_d</vt:lpstr>
      <vt:lpstr>Bauteile!b10_Name</vt:lpstr>
      <vt:lpstr>Bauteile!b10_Notiz</vt:lpstr>
      <vt:lpstr>Bauteile!b10_Quelle</vt:lpstr>
      <vt:lpstr>Bauteile!b10_si</vt:lpstr>
      <vt:lpstr>Bauteile!b10_Stoff</vt:lpstr>
      <vt:lpstr>Bauteile!b10_x</vt:lpstr>
      <vt:lpstr>bOp_alf</vt:lpstr>
      <vt:lpstr>bOp_Name</vt:lpstr>
      <vt:lpstr>bOp_Notiz</vt:lpstr>
      <vt:lpstr>bOp_U</vt:lpstr>
      <vt:lpstr>bTra_FF</vt:lpstr>
      <vt:lpstr>bTra_Fs</vt:lpstr>
      <vt:lpstr>bTra_g</vt:lpstr>
      <vt:lpstr>bTra_Name</vt:lpstr>
      <vt:lpstr>bTra_Notiz</vt:lpstr>
      <vt:lpstr>bTra_U</vt:lpstr>
      <vt:lpstr>dBauherr</vt:lpstr>
      <vt:lpstr>dBearbeiter</vt:lpstr>
      <vt:lpstr>dbLambda</vt:lpstr>
      <vt:lpstr>dbName</vt:lpstr>
      <vt:lpstr>dbNotiz</vt:lpstr>
      <vt:lpstr>dbRho</vt:lpstr>
      <vt:lpstr>dDatum</vt:lpstr>
      <vt:lpstr>dGemarkung</vt:lpstr>
      <vt:lpstr>Bauteile!Druckbereich</vt:lpstr>
      <vt:lpstr>Deckblatt!Druckbereich</vt:lpstr>
      <vt:lpstr>Energieausweis!Druckbereich</vt:lpstr>
      <vt:lpstr>Gebaeude!Druckbereich</vt:lpstr>
      <vt:lpstr>Geometrie!Druckbereich</vt:lpstr>
      <vt:lpstr>Graphisch!Druckbereich</vt:lpstr>
      <vt:lpstr>Referenz!Druckbereich</vt:lpstr>
      <vt:lpstr>Tabellen!Druckbereich</vt:lpstr>
      <vt:lpstr>Technik!Druckbereich</vt:lpstr>
      <vt:lpstr>fAW</vt:lpstr>
      <vt:lpstr>fAW_Notiz</vt:lpstr>
      <vt:lpstr>fAW_Ori</vt:lpstr>
      <vt:lpstr>fAW_U</vt:lpstr>
      <vt:lpstr>fAWT</vt:lpstr>
      <vt:lpstr>fAWT_Notiz</vt:lpstr>
      <vt:lpstr>fAWT_U</vt:lpstr>
      <vt:lpstr>fAWT_Zuo</vt:lpstr>
      <vt:lpstr>fAWW</vt:lpstr>
      <vt:lpstr>fAWW_Notiz</vt:lpstr>
      <vt:lpstr>fAWW_U</vt:lpstr>
      <vt:lpstr>fAWW_Zuo</vt:lpstr>
      <vt:lpstr>fD</vt:lpstr>
      <vt:lpstr>fD_Nei</vt:lpstr>
      <vt:lpstr>fD_Notiz</vt:lpstr>
      <vt:lpstr>fD_Ori</vt:lpstr>
      <vt:lpstr>fD_U</vt:lpstr>
      <vt:lpstr>fDAB</vt:lpstr>
      <vt:lpstr>fDAB_U</vt:lpstr>
      <vt:lpstr>fDABNotiz</vt:lpstr>
      <vt:lpstr>fDAbW</vt:lpstr>
      <vt:lpstr>fDAbW_Notiz</vt:lpstr>
      <vt:lpstr>fDAbW_U</vt:lpstr>
      <vt:lpstr>fDOG</vt:lpstr>
      <vt:lpstr>fDOG_Notiz</vt:lpstr>
      <vt:lpstr>fDOG_U</vt:lpstr>
      <vt:lpstr>fDW</vt:lpstr>
      <vt:lpstr>fDW_Notiz</vt:lpstr>
      <vt:lpstr>fDW_U</vt:lpstr>
      <vt:lpstr>fDW_Zuo</vt:lpstr>
      <vt:lpstr>fG</vt:lpstr>
      <vt:lpstr>fG_Art</vt:lpstr>
      <vt:lpstr>fG_Notiz</vt:lpstr>
      <vt:lpstr>fG_U</vt:lpstr>
      <vt:lpstr>fGAG</vt:lpstr>
      <vt:lpstr>fGAG_Notiz</vt:lpstr>
      <vt:lpstr>fGAG_U</vt:lpstr>
      <vt:lpstr>fGaux</vt:lpstr>
      <vt:lpstr>fGaux_Notiz</vt:lpstr>
      <vt:lpstr>fGW</vt:lpstr>
      <vt:lpstr>fGW_Notiz</vt:lpstr>
      <vt:lpstr>fGW_U</vt:lpstr>
      <vt:lpstr>fGW_Zuo</vt:lpstr>
      <vt:lpstr>fV</vt:lpstr>
      <vt:lpstr>fV_Notiz</vt:lpstr>
      <vt:lpstr>Referenz!gAN</vt:lpstr>
      <vt:lpstr>gAN</vt:lpstr>
      <vt:lpstr>gAnzGeschosse</vt:lpstr>
      <vt:lpstr>Referenz!gAW_A</vt:lpstr>
      <vt:lpstr>gAW_A</vt:lpstr>
      <vt:lpstr>Referenz!gAW_Ori</vt:lpstr>
      <vt:lpstr>gAW_Ori</vt:lpstr>
      <vt:lpstr>Referenz!gAW_U</vt:lpstr>
      <vt:lpstr>gAW_U</vt:lpstr>
      <vt:lpstr>Referenz!gAWT_A</vt:lpstr>
      <vt:lpstr>gAWT_A</vt:lpstr>
      <vt:lpstr>Referenz!gAWT_U</vt:lpstr>
      <vt:lpstr>gAWT_U</vt:lpstr>
      <vt:lpstr>Referenz!gAWT_Zuo</vt:lpstr>
      <vt:lpstr>gAWT_Zuo</vt:lpstr>
      <vt:lpstr>Referenz!gAWW_A</vt:lpstr>
      <vt:lpstr>gAWW_A</vt:lpstr>
      <vt:lpstr>Referenz!gAWW_U</vt:lpstr>
      <vt:lpstr>gAWW_U</vt:lpstr>
      <vt:lpstr>Referenz!gAWW_Zuo</vt:lpstr>
      <vt:lpstr>gAWW_Zuo</vt:lpstr>
      <vt:lpstr>Referenz!gCwirk_Art</vt:lpstr>
      <vt:lpstr>gCwirk_Art</vt:lpstr>
      <vt:lpstr>Referenz!gCwirk_eta</vt:lpstr>
      <vt:lpstr>gCwirk_eta</vt:lpstr>
      <vt:lpstr>Referenz!gCwirk_NA</vt:lpstr>
      <vt:lpstr>gCwirk_NA</vt:lpstr>
      <vt:lpstr>Referenz!gD_A</vt:lpstr>
      <vt:lpstr>gD_A</vt:lpstr>
      <vt:lpstr>Referenz!gD_Nei</vt:lpstr>
      <vt:lpstr>gD_Nei</vt:lpstr>
      <vt:lpstr>Referenz!gD_Ori</vt:lpstr>
      <vt:lpstr>gD_Ori</vt:lpstr>
      <vt:lpstr>Referenz!gD_U</vt:lpstr>
      <vt:lpstr>gD_U</vt:lpstr>
      <vt:lpstr>Referenz!gDAB_A</vt:lpstr>
      <vt:lpstr>gDAB_A</vt:lpstr>
      <vt:lpstr>Referenz!gDAB_U</vt:lpstr>
      <vt:lpstr>gDAB_U</vt:lpstr>
      <vt:lpstr>Referenz!gDAbW_A</vt:lpstr>
      <vt:lpstr>gDAbW_A</vt:lpstr>
      <vt:lpstr>Referenz!gDAbW_U</vt:lpstr>
      <vt:lpstr>gDAbW_U</vt:lpstr>
      <vt:lpstr>Referenz!gDOG_A</vt:lpstr>
      <vt:lpstr>gDOG_A</vt:lpstr>
      <vt:lpstr>Referenz!gDOG_U</vt:lpstr>
      <vt:lpstr>gDOG_U</vt:lpstr>
      <vt:lpstr>Referenz!gDW_A</vt:lpstr>
      <vt:lpstr>gDW_A</vt:lpstr>
      <vt:lpstr>Referenz!gDW_U</vt:lpstr>
      <vt:lpstr>gDW_U</vt:lpstr>
      <vt:lpstr>Referenz!gDW_Zuo</vt:lpstr>
      <vt:lpstr>gDW_Zuo</vt:lpstr>
      <vt:lpstr>Referenz!ge_Art</vt:lpstr>
      <vt:lpstr>ge_Art</vt:lpstr>
      <vt:lpstr>Referenz!ge_Dia</vt:lpstr>
      <vt:lpstr>ge_Dia</vt:lpstr>
      <vt:lpstr>Referenz!ge_eP</vt:lpstr>
      <vt:lpstr>ge_eP</vt:lpstr>
      <vt:lpstr>Referenz!ge_qHEE</vt:lpstr>
      <vt:lpstr>ge_qHEE</vt:lpstr>
      <vt:lpstr>Referenz!ge_qWEE</vt:lpstr>
      <vt:lpstr>ge_qWEE</vt:lpstr>
      <vt:lpstr>gEE_Pflicht</vt:lpstr>
      <vt:lpstr>Referenz!gG_A</vt:lpstr>
      <vt:lpstr>gG_A</vt:lpstr>
      <vt:lpstr>Referenz!gG_Art</vt:lpstr>
      <vt:lpstr>gG_Art</vt:lpstr>
      <vt:lpstr>Referenz!gG_aux</vt:lpstr>
      <vt:lpstr>gG_aux</vt:lpstr>
      <vt:lpstr>Referenz!gG_U</vt:lpstr>
      <vt:lpstr>gG_U</vt:lpstr>
      <vt:lpstr>Referenz!gGAG_A</vt:lpstr>
      <vt:lpstr>gGAG_A</vt:lpstr>
      <vt:lpstr>Referenz!gGAG_U</vt:lpstr>
      <vt:lpstr>gGAG_U</vt:lpstr>
      <vt:lpstr>Referenz!gGW_A</vt:lpstr>
      <vt:lpstr>gGW_A</vt:lpstr>
      <vt:lpstr>Referenz!gGW_U</vt:lpstr>
      <vt:lpstr>gGW_U</vt:lpstr>
      <vt:lpstr>Referenz!gGW_Zuo</vt:lpstr>
      <vt:lpstr>gGW_Zuo</vt:lpstr>
      <vt:lpstr>Referenz!ghG</vt:lpstr>
      <vt:lpstr>ghG</vt:lpstr>
      <vt:lpstr>Referenz!gHV_Art</vt:lpstr>
      <vt:lpstr>gHV_Art</vt:lpstr>
      <vt:lpstr>Referenz!gHV_Geschoss</vt:lpstr>
      <vt:lpstr>gHV_Geschoss</vt:lpstr>
      <vt:lpstr>Referenz!gLast_Dicht</vt:lpstr>
      <vt:lpstr>gLast_Dicht</vt:lpstr>
      <vt:lpstr>Referenz!gLast_Te</vt:lpstr>
      <vt:lpstr>gLast_Te</vt:lpstr>
      <vt:lpstr>Referenz!gLast_Ti</vt:lpstr>
      <vt:lpstr>gLast_Ti</vt:lpstr>
      <vt:lpstr>Referenz!gLast_WRG</vt:lpstr>
      <vt:lpstr>gLast_WRG</vt:lpstr>
      <vt:lpstr>Referenz!gObjekt</vt:lpstr>
      <vt:lpstr>gObjekt</vt:lpstr>
      <vt:lpstr>Referenz!gSAW_alf</vt:lpstr>
      <vt:lpstr>gSAW_alf</vt:lpstr>
      <vt:lpstr>Referenz!gSD_alf</vt:lpstr>
      <vt:lpstr>gSD_alf</vt:lpstr>
      <vt:lpstr>Referenz!gSW_FF</vt:lpstr>
      <vt:lpstr>gSW_FF</vt:lpstr>
      <vt:lpstr>Referenz!gSW_Fs</vt:lpstr>
      <vt:lpstr>gSW_Fs</vt:lpstr>
      <vt:lpstr>Referenz!gSW_g</vt:lpstr>
      <vt:lpstr>gSW_g</vt:lpstr>
      <vt:lpstr>Referenz!gVe</vt:lpstr>
      <vt:lpstr>gVe</vt:lpstr>
      <vt:lpstr>Referenz!gWB_Art</vt:lpstr>
      <vt:lpstr>gWB_Art</vt:lpstr>
      <vt:lpstr>Referenz!gWB_dU</vt:lpstr>
      <vt:lpstr>gWB_dU</vt:lpstr>
      <vt:lpstr>Referenz!gWoE</vt:lpstr>
      <vt:lpstr>gWoE</vt:lpstr>
      <vt:lpstr>Referenz!listNei</vt:lpstr>
      <vt:lpstr>listNei</vt:lpstr>
      <vt:lpstr>Referenz!listNeiOhne90</vt:lpstr>
      <vt:lpstr>listNeiOhne90</vt:lpstr>
      <vt:lpstr>listOpak</vt:lpstr>
      <vt:lpstr>Referenz!listOri</vt:lpstr>
      <vt:lpstr>listOri</vt:lpstr>
      <vt:lpstr>Referenz!listOriOhneHor</vt:lpstr>
      <vt:lpstr>listOriOhneHor</vt:lpstr>
      <vt:lpstr>listTechnikMusteranlageLang</vt:lpstr>
      <vt:lpstr>listTransparent</vt:lpstr>
      <vt:lpstr>Referenz!listUntererAbschluss</vt:lpstr>
      <vt:lpstr>listUntererAbschluss</vt:lpstr>
      <vt:lpstr>listWaermestrom</vt:lpstr>
      <vt:lpstr>Referenz!stBerechnung</vt:lpstr>
      <vt:lpstr>stBerechnung</vt:lpstr>
      <vt:lpstr>Referenz!stEnEV</vt:lpstr>
      <vt:lpstr>stEnEV</vt:lpstr>
      <vt:lpstr>Referenz!stfPStrom</vt:lpstr>
      <vt:lpstr>stfPStrom</vt:lpstr>
      <vt:lpstr>stGraphAnlage</vt:lpstr>
      <vt:lpstr>stHilfAusweis</vt:lpstr>
      <vt:lpstr>stHilfAusweisRows</vt:lpstr>
      <vt:lpstr>stHilfBaut</vt:lpstr>
      <vt:lpstr>Referenz!stHilfGeb</vt:lpstr>
      <vt:lpstr>stHilfGeb</vt:lpstr>
      <vt:lpstr>stHilfGraph</vt:lpstr>
      <vt:lpstr>stHilfTab</vt:lpstr>
      <vt:lpstr>stHilfTech</vt:lpstr>
      <vt:lpstr>stHilfTechRows</vt:lpstr>
      <vt:lpstr>Referenz!stSchutz</vt:lpstr>
      <vt:lpstr>stSchutz</vt:lpstr>
      <vt:lpstr>stTechAnlage</vt:lpstr>
      <vt:lpstr>t0Head</vt:lpstr>
      <vt:lpstr>t0txt_h1</vt:lpstr>
      <vt:lpstr>t0txt_h2</vt:lpstr>
      <vt:lpstr>t0txt_h3</vt:lpstr>
      <vt:lpstr>t0txt_h4</vt:lpstr>
      <vt:lpstr>t0txt_l1</vt:lpstr>
      <vt:lpstr>t0txt_l2</vt:lpstr>
      <vt:lpstr>t0txt_l3</vt:lpstr>
      <vt:lpstr>t0txt_l4</vt:lpstr>
      <vt:lpstr>t0txt_w1</vt:lpstr>
      <vt:lpstr>t0txt_w2</vt:lpstr>
      <vt:lpstr>t0txt_w3</vt:lpstr>
      <vt:lpstr>t0txt_w4</vt:lpstr>
      <vt:lpstr>thHead</vt:lpstr>
      <vt:lpstr>thVal1</vt:lpstr>
      <vt:lpstr>thVal10</vt:lpstr>
      <vt:lpstr>thVal11</vt:lpstr>
      <vt:lpstr>thVal12</vt:lpstr>
      <vt:lpstr>thVal2</vt:lpstr>
      <vt:lpstr>thVal3</vt:lpstr>
      <vt:lpstr>thVal4</vt:lpstr>
      <vt:lpstr>thVal5</vt:lpstr>
      <vt:lpstr>thVal6</vt:lpstr>
      <vt:lpstr>thVal7</vt:lpstr>
      <vt:lpstr>thVal8</vt:lpstr>
      <vt:lpstr>thVal9</vt:lpstr>
      <vt:lpstr>tlHead</vt:lpstr>
      <vt:lpstr>tlVal1</vt:lpstr>
      <vt:lpstr>tlVal10</vt:lpstr>
      <vt:lpstr>tlVal11</vt:lpstr>
      <vt:lpstr>tlVal12</vt:lpstr>
      <vt:lpstr>tlVal2</vt:lpstr>
      <vt:lpstr>tlVal3</vt:lpstr>
      <vt:lpstr>tlVal4</vt:lpstr>
      <vt:lpstr>tlVal5</vt:lpstr>
      <vt:lpstr>tlVal6</vt:lpstr>
      <vt:lpstr>tlVal7</vt:lpstr>
      <vt:lpstr>tlVal8</vt:lpstr>
      <vt:lpstr>tlVal9</vt:lpstr>
      <vt:lpstr>twHead</vt:lpstr>
      <vt:lpstr>twVal1</vt:lpstr>
      <vt:lpstr>twVal10</vt:lpstr>
      <vt:lpstr>twVal11</vt:lpstr>
      <vt:lpstr>twVal12</vt:lpstr>
      <vt:lpstr>twVal13</vt:lpstr>
      <vt:lpstr>twVal2</vt:lpstr>
      <vt:lpstr>twVal3</vt:lpstr>
      <vt:lpstr>twVal4</vt:lpstr>
      <vt:lpstr>twVal5</vt:lpstr>
      <vt:lpstr>twVal6</vt:lpstr>
      <vt:lpstr>twVal7</vt:lpstr>
      <vt:lpstr>twVal8</vt:lpstr>
      <vt:lpstr>twVal9</vt:lpstr>
      <vt:lpstr>Referenz!zAnfHT</vt:lpstr>
      <vt:lpstr>zAnfHT</vt:lpstr>
      <vt:lpstr>Referenz!zAnfHTSt</vt:lpstr>
      <vt:lpstr>zAnfHTSt</vt:lpstr>
      <vt:lpstr>Referenz!zAnfHTStNeu</vt:lpstr>
      <vt:lpstr>zAnfHTStNeu</vt:lpstr>
      <vt:lpstr>zAnfQp</vt:lpstr>
      <vt:lpstr>Referenz!zAnfQpSt</vt:lpstr>
      <vt:lpstr>zAnfQpSt</vt:lpstr>
      <vt:lpstr>zAnfQpStNeu</vt:lpstr>
      <vt:lpstr>Referenz!zDefaultBlende</vt:lpstr>
      <vt:lpstr>zDefaultBlende</vt:lpstr>
      <vt:lpstr>zGraphischRef</vt:lpstr>
      <vt:lpstr>zGraphischRefMon</vt:lpstr>
      <vt:lpstr>Referenz!zHT</vt:lpstr>
      <vt:lpstr>zHT</vt:lpstr>
      <vt:lpstr>zHTzul</vt:lpstr>
      <vt:lpstr>Referenz!zLast</vt:lpstr>
      <vt:lpstr>zLast</vt:lpstr>
      <vt:lpstr>Referenz!zLastRef</vt:lpstr>
      <vt:lpstr>zLastRef</vt:lpstr>
      <vt:lpstr>zPruefungDateien</vt:lpstr>
      <vt:lpstr>Referenz!zQP</vt:lpstr>
      <vt:lpstr>zQP</vt:lpstr>
      <vt:lpstr>zQPzul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Kirsten Höttges</dc:creator>
  <cp:lastModifiedBy>Kirsten Höttges</cp:lastModifiedBy>
  <cp:lastPrinted>2023-04-11T08:57:04Z</cp:lastPrinted>
  <dcterms:created xsi:type="dcterms:W3CDTF">2012-10-11T15:33:19Z</dcterms:created>
  <dcterms:modified xsi:type="dcterms:W3CDTF">2023-04-11T09:29:22Z</dcterms:modified>
</cp:coreProperties>
</file>